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2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7. Estadísticas\Boletín Estadistíco 2022\T3\"/>
    </mc:Choice>
  </mc:AlternateContent>
  <xr:revisionPtr revIDLastSave="0" documentId="8_{E731D8A8-7210-4F6B-8BF3-E9425C170950}" xr6:coauthVersionLast="47" xr6:coauthVersionMax="47" xr10:uidLastSave="{00000000-0000-0000-0000-000000000000}"/>
  <bookViews>
    <workbookView xWindow="-28920" yWindow="-120" windowWidth="29040" windowHeight="15840" tabRatio="990" xr2:uid="{00000000-000D-0000-FFFF-FFFF00000000}"/>
  </bookViews>
  <sheets>
    <sheet name="Presupuesto Adm." sheetId="1" r:id="rId1"/>
    <sheet name="Afiliados y Cotizantes" sheetId="21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Autoseguro" sheetId="22" r:id="rId9"/>
    <sheet name="Movimientos" sheetId="9" r:id="rId10"/>
    <sheet name="Hoja1" sheetId="18" state="hidden" r:id="rId11"/>
    <sheet name="Tipo de Pension" sheetId="12" r:id="rId12"/>
    <sheet name="Modalidad" sheetId="10" r:id="rId13"/>
    <sheet name="Retroactivos" sheetId="11" r:id="rId14"/>
    <sheet name="Reintegros" sheetId="16" state="hidden" r:id="rId15"/>
    <sheet name="Créditos Rechazados" sheetId="17" state="hidden" r:id="rId16"/>
    <sheet name="Recuperación Fondos" sheetId="15" r:id="rId17"/>
    <sheet name="Servicios" sheetId="13" r:id="rId18"/>
  </sheets>
  <definedNames>
    <definedName name="_xlnm.Print_Area" localSheetId="1">'Afiliados y Cotizantes'!$A$1:$N$57</definedName>
    <definedName name="_xlnm.Print_Area" localSheetId="4">Aportes!$A$1:$D$39</definedName>
    <definedName name="_xlnm.Print_Area" localSheetId="8">Autoseguro!$A$1:$R$62</definedName>
    <definedName name="_xlnm.Print_Area" localSheetId="2">Cotizantes!$A$1:$K$39</definedName>
    <definedName name="_xlnm.Print_Area" localSheetId="12">Modalidad!$A$1:$Q$44</definedName>
    <definedName name="_xlnm.Print_Area" localSheetId="9">Movimientos!$A$1:$M$40</definedName>
    <definedName name="_xlnm.Print_Area" localSheetId="7">Nómina!$A$1:$O$57</definedName>
    <definedName name="_xlnm.Print_Area" localSheetId="6">'Presupuesto de Pensiones'!$A$1:$H$51</definedName>
    <definedName name="_xlnm.Print_Area" localSheetId="16">'Recuperación Fondos'!$A$1:$G$56</definedName>
    <definedName name="_xlnm.Print_Area" localSheetId="13">Retroactivos!$A$1:$M$44</definedName>
    <definedName name="_xlnm.Print_Area" localSheetId="17">Servicios!$A$1:$W$52</definedName>
    <definedName name="_xlnm.Print_Area" localSheetId="11">'Tipo de Pension'!$A$1:$AH$71</definedName>
    <definedName name="_xlnm.Print_Area" localSheetId="5">Traspaso!$A$1:$I$41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7" i="21" l="1"/>
  <c r="L55" i="12"/>
  <c r="J55" i="12"/>
  <c r="D12" i="9" l="1"/>
  <c r="M33" i="22"/>
  <c r="M34" i="22"/>
  <c r="M32" i="22"/>
  <c r="M35" i="22" s="1"/>
  <c r="N33" i="22"/>
  <c r="N34" i="22"/>
  <c r="N32" i="22"/>
  <c r="J35" i="22"/>
  <c r="F35" i="22"/>
  <c r="D35" i="22"/>
  <c r="B35" i="22"/>
  <c r="H35" i="22" l="1"/>
  <c r="Q9" i="22" l="1"/>
  <c r="Q8" i="22"/>
  <c r="P8" i="22"/>
  <c r="P9" i="22"/>
  <c r="P10" i="22"/>
  <c r="Q10" i="22"/>
  <c r="K11" i="22"/>
  <c r="J11" i="22"/>
  <c r="I11" i="22"/>
  <c r="H11" i="22"/>
  <c r="G11" i="22"/>
  <c r="C10" i="5" l="1"/>
  <c r="D10" i="5" l="1"/>
  <c r="B10" i="21" l="1"/>
  <c r="M36" i="13" l="1"/>
  <c r="L36" i="13"/>
  <c r="K36" i="13"/>
  <c r="H36" i="13"/>
  <c r="E36" i="13"/>
  <c r="K19" i="13"/>
  <c r="K15" i="13"/>
  <c r="H19" i="13"/>
  <c r="H15" i="13"/>
  <c r="E19" i="13"/>
  <c r="E15" i="13" l="1"/>
  <c r="E11" i="13"/>
  <c r="H11" i="13"/>
  <c r="E12" i="13"/>
  <c r="H12" i="13"/>
  <c r="E13" i="13"/>
  <c r="H13" i="13"/>
  <c r="E14" i="13"/>
  <c r="H14" i="13"/>
  <c r="E16" i="13"/>
  <c r="H16" i="13"/>
  <c r="E17" i="13"/>
  <c r="H17" i="13"/>
  <c r="E18" i="13"/>
  <c r="H18" i="13"/>
  <c r="E20" i="13"/>
  <c r="H20" i="13"/>
  <c r="E21" i="13"/>
  <c r="H21" i="13"/>
  <c r="E22" i="13"/>
  <c r="H22" i="13"/>
  <c r="D45" i="12"/>
  <c r="H45" i="12"/>
  <c r="E12" i="9" l="1"/>
  <c r="L35" i="22"/>
  <c r="E35" i="22"/>
  <c r="C35" i="22"/>
  <c r="O11" i="22"/>
  <c r="N11" i="22"/>
  <c r="M11" i="22"/>
  <c r="L11" i="22"/>
  <c r="F11" i="22"/>
  <c r="E11" i="22"/>
  <c r="D11" i="22"/>
  <c r="C11" i="22"/>
  <c r="B11" i="22"/>
  <c r="P11" i="22"/>
  <c r="N35" i="22" l="1"/>
  <c r="Q11" i="22"/>
  <c r="H12" i="22" s="1"/>
  <c r="C12" i="22" l="1"/>
  <c r="M12" i="22"/>
  <c r="O12" i="22"/>
  <c r="D11" i="6"/>
  <c r="D7" i="21"/>
  <c r="F7" i="21"/>
  <c r="D8" i="21"/>
  <c r="F8" i="21"/>
  <c r="D9" i="21"/>
  <c r="F9" i="21"/>
  <c r="B23" i="21"/>
  <c r="C10" i="21"/>
  <c r="C23" i="21" s="1"/>
  <c r="E10" i="21"/>
  <c r="E23" i="21" s="1"/>
  <c r="G10" i="21"/>
  <c r="D11" i="21"/>
  <c r="F11" i="21"/>
  <c r="D12" i="21"/>
  <c r="F12" i="21"/>
  <c r="D13" i="21"/>
  <c r="F13" i="21"/>
  <c r="B14" i="21"/>
  <c r="C14" i="21"/>
  <c r="D14" i="21"/>
  <c r="E14" i="21"/>
  <c r="F14" i="21"/>
  <c r="D15" i="21"/>
  <c r="F15" i="21"/>
  <c r="D16" i="21"/>
  <c r="F16" i="21"/>
  <c r="D17" i="21"/>
  <c r="F17" i="21"/>
  <c r="B18" i="21"/>
  <c r="C18" i="21"/>
  <c r="D18" i="21"/>
  <c r="E18" i="21"/>
  <c r="F18" i="21" s="1"/>
  <c r="D19" i="21"/>
  <c r="F19" i="21"/>
  <c r="D20" i="21"/>
  <c r="F20" i="21"/>
  <c r="D21" i="21"/>
  <c r="F21" i="21"/>
  <c r="B22" i="21"/>
  <c r="D22" i="21" s="1"/>
  <c r="C22" i="21"/>
  <c r="E22" i="21"/>
  <c r="F22" i="21" s="1"/>
  <c r="F10" i="21" l="1"/>
  <c r="F23" i="21"/>
  <c r="D10" i="21"/>
  <c r="D23" i="21"/>
  <c r="M23" i="13"/>
  <c r="F7" i="15"/>
  <c r="C14" i="2" l="1"/>
  <c r="L33" i="12" l="1"/>
  <c r="M57" i="12"/>
  <c r="M58" i="12"/>
  <c r="M59" i="12"/>
  <c r="M60" i="12"/>
  <c r="M61" i="12"/>
  <c r="M62" i="12"/>
  <c r="M63" i="12"/>
  <c r="M64" i="12"/>
  <c r="M65" i="12"/>
  <c r="M56" i="12"/>
  <c r="L57" i="12"/>
  <c r="L58" i="12"/>
  <c r="L59" i="12"/>
  <c r="L60" i="12"/>
  <c r="L61" i="12"/>
  <c r="L62" i="12"/>
  <c r="L63" i="12"/>
  <c r="L64" i="12"/>
  <c r="L65" i="12"/>
  <c r="L56" i="12"/>
  <c r="K57" i="12"/>
  <c r="K58" i="12"/>
  <c r="K59" i="12"/>
  <c r="K60" i="12"/>
  <c r="K61" i="12"/>
  <c r="K62" i="12"/>
  <c r="K63" i="12"/>
  <c r="K64" i="12"/>
  <c r="K65" i="12"/>
  <c r="K56" i="12"/>
  <c r="J57" i="12"/>
  <c r="J58" i="12"/>
  <c r="J59" i="12"/>
  <c r="J60" i="12"/>
  <c r="J61" i="12"/>
  <c r="J62" i="12"/>
  <c r="J63" i="12"/>
  <c r="J64" i="12"/>
  <c r="J65" i="12"/>
  <c r="J56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32" i="12"/>
  <c r="L34" i="12"/>
  <c r="L35" i="12"/>
  <c r="L36" i="12"/>
  <c r="L37" i="12"/>
  <c r="L38" i="12"/>
  <c r="L39" i="12"/>
  <c r="L40" i="12"/>
  <c r="L41" i="12"/>
  <c r="L42" i="12"/>
  <c r="L43" i="12"/>
  <c r="L44" i="12"/>
  <c r="L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32" i="12"/>
  <c r="J9" i="12"/>
  <c r="K9" i="12"/>
  <c r="L9" i="12"/>
  <c r="M9" i="12"/>
  <c r="B45" i="12"/>
  <c r="E33" i="12"/>
  <c r="F45" i="12"/>
  <c r="I34" i="12"/>
  <c r="L14" i="12"/>
  <c r="C38" i="12" l="1"/>
  <c r="C33" i="12"/>
  <c r="C34" i="12"/>
  <c r="C40" i="12"/>
  <c r="C42" i="12"/>
  <c r="C44" i="12"/>
  <c r="C39" i="12"/>
  <c r="C32" i="12"/>
  <c r="C35" i="12"/>
  <c r="C41" i="12"/>
  <c r="C43" i="12"/>
  <c r="C36" i="12"/>
  <c r="C37" i="12"/>
  <c r="K45" i="12"/>
  <c r="L45" i="12"/>
  <c r="J45" i="12"/>
  <c r="M45" i="12"/>
  <c r="G40" i="12"/>
  <c r="G37" i="12"/>
  <c r="G43" i="12"/>
  <c r="G34" i="12"/>
  <c r="E40" i="12"/>
  <c r="E37" i="12"/>
  <c r="E34" i="12"/>
  <c r="E44" i="12"/>
  <c r="E35" i="12"/>
  <c r="E43" i="12"/>
  <c r="E38" i="12"/>
  <c r="E41" i="12"/>
  <c r="E32" i="12"/>
  <c r="I44" i="12"/>
  <c r="I41" i="12"/>
  <c r="I38" i="12"/>
  <c r="I35" i="12"/>
  <c r="I32" i="12"/>
  <c r="G44" i="12"/>
  <c r="G41" i="12"/>
  <c r="G38" i="12"/>
  <c r="G35" i="12"/>
  <c r="G32" i="12"/>
  <c r="I42" i="12"/>
  <c r="I39" i="12"/>
  <c r="I36" i="12"/>
  <c r="I33" i="12"/>
  <c r="G42" i="12"/>
  <c r="G39" i="12"/>
  <c r="G36" i="12"/>
  <c r="G33" i="12"/>
  <c r="I43" i="12"/>
  <c r="E42" i="12"/>
  <c r="I40" i="12"/>
  <c r="E39" i="12"/>
  <c r="I37" i="12"/>
  <c r="E36" i="12"/>
  <c r="E45" i="12" l="1"/>
  <c r="C45" i="12"/>
  <c r="G45" i="12"/>
  <c r="I45" i="12"/>
  <c r="M10" i="12" l="1"/>
  <c r="M11" i="12"/>
  <c r="M12" i="12"/>
  <c r="M13" i="12"/>
  <c r="M14" i="12"/>
  <c r="M15" i="12"/>
  <c r="M16" i="12"/>
  <c r="M17" i="12"/>
  <c r="L10" i="12"/>
  <c r="L11" i="12"/>
  <c r="L12" i="12"/>
  <c r="L13" i="12"/>
  <c r="L15" i="12"/>
  <c r="L16" i="12"/>
  <c r="L17" i="12"/>
  <c r="K10" i="12"/>
  <c r="K11" i="12"/>
  <c r="K12" i="12"/>
  <c r="K13" i="12"/>
  <c r="K14" i="12"/>
  <c r="K15" i="12"/>
  <c r="K16" i="12"/>
  <c r="K17" i="12"/>
  <c r="J10" i="12"/>
  <c r="J11" i="12"/>
  <c r="J12" i="12"/>
  <c r="J13" i="12"/>
  <c r="J14" i="12"/>
  <c r="J15" i="12"/>
  <c r="J16" i="12"/>
  <c r="J17" i="12"/>
  <c r="B18" i="12" l="1"/>
  <c r="C9" i="12" s="1"/>
  <c r="D18" i="12"/>
  <c r="E10" i="12" s="1"/>
  <c r="F18" i="12"/>
  <c r="G9" i="12" s="1"/>
  <c r="H18" i="12"/>
  <c r="I13" i="12" s="1"/>
  <c r="I15" i="12" l="1"/>
  <c r="G10" i="12"/>
  <c r="K18" i="12"/>
  <c r="J18" i="12"/>
  <c r="I11" i="12"/>
  <c r="L18" i="12"/>
  <c r="M18" i="12"/>
  <c r="I10" i="12"/>
  <c r="E11" i="12"/>
  <c r="E14" i="12"/>
  <c r="C11" i="12"/>
  <c r="E17" i="12"/>
  <c r="C14" i="12"/>
  <c r="C17" i="12"/>
  <c r="C10" i="12"/>
  <c r="I16" i="12"/>
  <c r="C13" i="12"/>
  <c r="I9" i="12"/>
  <c r="C16" i="12"/>
  <c r="I12" i="12"/>
  <c r="G17" i="12"/>
  <c r="G14" i="12"/>
  <c r="G11" i="12"/>
  <c r="G15" i="12"/>
  <c r="G12" i="12"/>
  <c r="E15" i="12"/>
  <c r="E12" i="12"/>
  <c r="E9" i="12"/>
  <c r="G16" i="12"/>
  <c r="C15" i="12"/>
  <c r="G13" i="12"/>
  <c r="C12" i="12"/>
  <c r="I17" i="12"/>
  <c r="E16" i="12"/>
  <c r="I14" i="12"/>
  <c r="E13" i="12"/>
  <c r="I18" i="12" l="1"/>
  <c r="C18" i="12"/>
  <c r="E18" i="12"/>
  <c r="G18" i="12"/>
  <c r="J12" i="11" l="1"/>
  <c r="I12" i="11"/>
  <c r="H12" i="11"/>
  <c r="D12" i="11"/>
  <c r="C12" i="11"/>
  <c r="B12" i="11"/>
  <c r="M13" i="10"/>
  <c r="L13" i="10"/>
  <c r="K13" i="10"/>
  <c r="I13" i="10"/>
  <c r="H13" i="10"/>
  <c r="G13" i="10"/>
  <c r="E13" i="10"/>
  <c r="D13" i="10"/>
  <c r="C13" i="10"/>
  <c r="J12" i="8"/>
  <c r="G12" i="8"/>
  <c r="D12" i="8"/>
  <c r="E14" i="2"/>
  <c r="B14" i="2"/>
  <c r="B13" i="1"/>
  <c r="C13" i="1"/>
  <c r="K8" i="8"/>
  <c r="L8" i="8"/>
  <c r="M8" i="8"/>
  <c r="D10" i="2"/>
  <c r="F10" i="2" s="1"/>
  <c r="F15" i="2"/>
  <c r="G15" i="2"/>
  <c r="H15" i="2" s="1"/>
  <c r="F16" i="2"/>
  <c r="G16" i="2"/>
  <c r="H16" i="2" s="1"/>
  <c r="G10" i="2" l="1"/>
  <c r="H10" i="2" s="1"/>
  <c r="D66" i="12" l="1"/>
  <c r="E61" i="12" s="1"/>
  <c r="M8" i="11" l="1"/>
  <c r="L8" i="11"/>
  <c r="K8" i="11"/>
  <c r="Q12" i="10" l="1"/>
  <c r="Q9" i="10" l="1"/>
  <c r="P9" i="10"/>
  <c r="O9" i="10"/>
  <c r="N9" i="10"/>
  <c r="J9" i="9" l="1"/>
  <c r="J10" i="9"/>
  <c r="J11" i="9"/>
  <c r="I12" i="8"/>
  <c r="H12" i="8"/>
  <c r="E12" i="8"/>
  <c r="D13" i="8"/>
  <c r="G13" i="8"/>
  <c r="J13" i="8"/>
  <c r="D10" i="1" l="1"/>
  <c r="H14" i="10" l="1"/>
  <c r="G7" i="15"/>
  <c r="F9" i="15"/>
  <c r="G9" i="15" s="1"/>
  <c r="M11" i="11"/>
  <c r="L11" i="11"/>
  <c r="K11" i="11"/>
  <c r="M9" i="11"/>
  <c r="L9" i="11"/>
  <c r="K9" i="11"/>
  <c r="J13" i="10"/>
  <c r="F13" i="10"/>
  <c r="B13" i="10"/>
  <c r="P12" i="10"/>
  <c r="O12" i="10"/>
  <c r="N12" i="10"/>
  <c r="Q10" i="10"/>
  <c r="P10" i="10"/>
  <c r="O10" i="10"/>
  <c r="N10" i="10"/>
  <c r="N13" i="10" s="1"/>
  <c r="K9" i="9"/>
  <c r="K11" i="9"/>
  <c r="F12" i="8"/>
  <c r="C12" i="8"/>
  <c r="B12" i="8"/>
  <c r="M9" i="8"/>
  <c r="L9" i="8"/>
  <c r="L12" i="8" s="1"/>
  <c r="K9" i="8"/>
  <c r="K12" i="8" s="1"/>
  <c r="M11" i="8"/>
  <c r="L11" i="8"/>
  <c r="K11" i="8"/>
  <c r="H13" i="2"/>
  <c r="D8" i="5"/>
  <c r="C8" i="5"/>
  <c r="G11" i="2" l="1"/>
  <c r="F13" i="2"/>
  <c r="F11" i="2"/>
  <c r="H11" i="2" l="1"/>
  <c r="D9" i="5"/>
  <c r="C9" i="5"/>
  <c r="D10" i="7"/>
  <c r="D8" i="7"/>
  <c r="D10" i="4"/>
  <c r="F10" i="4" s="1"/>
  <c r="D8" i="4"/>
  <c r="F8" i="4" s="1"/>
  <c r="E10" i="1"/>
  <c r="F10" i="1" s="1"/>
  <c r="E12" i="1"/>
  <c r="D12" i="1"/>
  <c r="D14" i="2"/>
  <c r="F17" i="2"/>
  <c r="G17" i="2"/>
  <c r="H17" i="2" s="1"/>
  <c r="B18" i="2"/>
  <c r="E18" i="2"/>
  <c r="F19" i="2"/>
  <c r="G19" i="2"/>
  <c r="H19" i="2" s="1"/>
  <c r="F20" i="2"/>
  <c r="G20" i="2"/>
  <c r="F21" i="2"/>
  <c r="G21" i="2"/>
  <c r="H21" i="2" s="1"/>
  <c r="B22" i="2"/>
  <c r="E22" i="2"/>
  <c r="F23" i="2"/>
  <c r="G23" i="2"/>
  <c r="H23" i="2" s="1"/>
  <c r="F24" i="2"/>
  <c r="G24" i="2"/>
  <c r="H24" i="2" s="1"/>
  <c r="F25" i="2"/>
  <c r="G25" i="2"/>
  <c r="H25" i="2" s="1"/>
  <c r="F26" i="2"/>
  <c r="G26" i="2"/>
  <c r="H26" i="2" s="1"/>
  <c r="B27" i="2"/>
  <c r="E27" i="2"/>
  <c r="F12" i="1" l="1"/>
  <c r="G12" i="2"/>
  <c r="F18" i="2"/>
  <c r="G22" i="2"/>
  <c r="H22" i="2" s="1"/>
  <c r="F27" i="2"/>
  <c r="F22" i="2"/>
  <c r="B28" i="2"/>
  <c r="H20" i="2"/>
  <c r="G18" i="2"/>
  <c r="H18" i="2" s="1"/>
  <c r="F12" i="2"/>
  <c r="E10" i="4"/>
  <c r="E8" i="4"/>
  <c r="G27" i="2"/>
  <c r="H27" i="2" s="1"/>
  <c r="E28" i="2"/>
  <c r="H12" i="2" l="1"/>
  <c r="H14" i="2"/>
  <c r="F28" i="2"/>
  <c r="G28" i="2" l="1"/>
  <c r="C72" i="18" l="1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D65" i="18"/>
  <c r="D68" i="18"/>
  <c r="D66" i="18"/>
  <c r="B72" i="18"/>
  <c r="D63" i="18"/>
  <c r="D70" i="18"/>
  <c r="D64" i="18"/>
  <c r="D67" i="18"/>
  <c r="D72" i="18" l="1"/>
  <c r="F66" i="12" l="1"/>
  <c r="G55" i="12" s="1"/>
  <c r="G61" i="12" l="1"/>
  <c r="G62" i="12"/>
  <c r="G60" i="12"/>
  <c r="G9" i="16"/>
  <c r="F9" i="16"/>
  <c r="C9" i="16"/>
  <c r="B9" i="16"/>
  <c r="L54" i="12" l="1"/>
  <c r="J54" i="12"/>
  <c r="B66" i="12" l="1"/>
  <c r="C55" i="12" s="1"/>
  <c r="C61" i="12" l="1"/>
  <c r="C64" i="12"/>
  <c r="C59" i="12"/>
  <c r="C65" i="12"/>
  <c r="C62" i="12"/>
  <c r="C57" i="12"/>
  <c r="C63" i="12"/>
  <c r="C58" i="12"/>
  <c r="C56" i="12"/>
  <c r="C60" i="12"/>
  <c r="K66" i="12"/>
  <c r="J66" i="12"/>
  <c r="K55" i="12" s="1"/>
  <c r="E54" i="12"/>
  <c r="E63" i="12"/>
  <c r="E60" i="12"/>
  <c r="E65" i="12"/>
  <c r="E56" i="12"/>
  <c r="E64" i="12"/>
  <c r="E58" i="12"/>
  <c r="E57" i="12"/>
  <c r="E59" i="12"/>
  <c r="E62" i="12"/>
  <c r="E66" i="12" l="1"/>
  <c r="N19" i="13"/>
  <c r="N15" i="13"/>
  <c r="E12" i="11"/>
  <c r="F12" i="11"/>
  <c r="G12" i="11"/>
  <c r="E16" i="11"/>
  <c r="F16" i="11"/>
  <c r="G16" i="11"/>
  <c r="E20" i="11"/>
  <c r="F20" i="11"/>
  <c r="G20" i="11"/>
  <c r="E24" i="11"/>
  <c r="F24" i="11"/>
  <c r="G24" i="11"/>
  <c r="E25" i="11" l="1"/>
  <c r="F25" i="11"/>
  <c r="G25" i="11"/>
  <c r="N36" i="13"/>
  <c r="K10" i="9" l="1"/>
  <c r="P39" i="17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E24" i="17" s="1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F24" i="16" s="1"/>
  <c r="E11" i="16"/>
  <c r="E24" i="16" s="1"/>
  <c r="D11" i="16"/>
  <c r="C11" i="16"/>
  <c r="B11" i="16"/>
  <c r="I10" i="16"/>
  <c r="H10" i="16"/>
  <c r="I9" i="16"/>
  <c r="H9" i="16"/>
  <c r="I8" i="16"/>
  <c r="H8" i="16"/>
  <c r="B24" i="16" l="1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B11" i="4"/>
  <c r="B12" i="9" l="1"/>
  <c r="E11" i="1"/>
  <c r="E13" i="1" s="1"/>
  <c r="C11" i="4" l="1"/>
  <c r="C12" i="9" l="1"/>
  <c r="C10" i="15" l="1"/>
  <c r="E10" i="15" l="1"/>
  <c r="D10" i="15"/>
  <c r="B10" i="15"/>
  <c r="C11" i="6"/>
  <c r="B11" i="6"/>
  <c r="B11" i="5"/>
  <c r="C11" i="7"/>
  <c r="B11" i="7"/>
  <c r="C11" i="5" l="1"/>
  <c r="D11" i="5"/>
  <c r="C54" i="12"/>
  <c r="C66" i="12" s="1"/>
  <c r="G56" i="12"/>
  <c r="G63" i="12"/>
  <c r="G58" i="12"/>
  <c r="G59" i="12"/>
  <c r="G65" i="12"/>
  <c r="G57" i="12"/>
  <c r="G64" i="12"/>
  <c r="D13" i="1"/>
  <c r="M43" i="13" l="1"/>
  <c r="L43" i="13"/>
  <c r="J43" i="13"/>
  <c r="I43" i="13"/>
  <c r="G43" i="13"/>
  <c r="F43" i="13"/>
  <c r="D43" i="13"/>
  <c r="C43" i="13"/>
  <c r="N42" i="13"/>
  <c r="K42" i="13"/>
  <c r="H42" i="13"/>
  <c r="E42" i="13"/>
  <c r="N41" i="13"/>
  <c r="K41" i="13"/>
  <c r="H41" i="13"/>
  <c r="E41" i="13"/>
  <c r="N40" i="13"/>
  <c r="K40" i="13"/>
  <c r="H40" i="13"/>
  <c r="E40" i="13"/>
  <c r="N39" i="13"/>
  <c r="K39" i="13"/>
  <c r="H39" i="13"/>
  <c r="E39" i="13"/>
  <c r="N38" i="13"/>
  <c r="K38" i="13"/>
  <c r="H38" i="13"/>
  <c r="E38" i="13"/>
  <c r="N37" i="13"/>
  <c r="K37" i="13"/>
  <c r="H37" i="13"/>
  <c r="E37" i="13"/>
  <c r="N35" i="13"/>
  <c r="K35" i="13"/>
  <c r="H35" i="13"/>
  <c r="E35" i="13"/>
  <c r="N34" i="13"/>
  <c r="K34" i="13"/>
  <c r="H34" i="13"/>
  <c r="E34" i="13"/>
  <c r="N33" i="13"/>
  <c r="K33" i="13"/>
  <c r="H33" i="13"/>
  <c r="E33" i="13"/>
  <c r="N32" i="13"/>
  <c r="K32" i="13"/>
  <c r="H32" i="13"/>
  <c r="E32" i="13"/>
  <c r="J23" i="13"/>
  <c r="I23" i="13"/>
  <c r="G23" i="13"/>
  <c r="F23" i="13"/>
  <c r="D23" i="13"/>
  <c r="C23" i="13"/>
  <c r="N22" i="13"/>
  <c r="K22" i="13"/>
  <c r="N21" i="13"/>
  <c r="K21" i="13"/>
  <c r="N20" i="13"/>
  <c r="K20" i="13"/>
  <c r="N18" i="13"/>
  <c r="K18" i="13"/>
  <c r="N17" i="13"/>
  <c r="K17" i="13"/>
  <c r="N16" i="13"/>
  <c r="K16" i="13"/>
  <c r="K14" i="13"/>
  <c r="K13" i="13"/>
  <c r="N12" i="13"/>
  <c r="K12" i="13"/>
  <c r="N11" i="13"/>
  <c r="K11" i="13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E14" i="15"/>
  <c r="D14" i="15"/>
  <c r="C14" i="15"/>
  <c r="B14" i="15"/>
  <c r="F13" i="15"/>
  <c r="G13" i="15" s="1"/>
  <c r="F12" i="15"/>
  <c r="G12" i="15" s="1"/>
  <c r="F11" i="15"/>
  <c r="G11" i="15" s="1"/>
  <c r="F8" i="15"/>
  <c r="G8" i="15" s="1"/>
  <c r="J24" i="11"/>
  <c r="I24" i="11"/>
  <c r="H24" i="11"/>
  <c r="D24" i="11"/>
  <c r="C24" i="11"/>
  <c r="B24" i="11"/>
  <c r="M23" i="11"/>
  <c r="L23" i="11"/>
  <c r="K23" i="11"/>
  <c r="M22" i="11"/>
  <c r="L22" i="11"/>
  <c r="K22" i="11"/>
  <c r="M21" i="11"/>
  <c r="L21" i="11"/>
  <c r="K21" i="11"/>
  <c r="J20" i="11"/>
  <c r="I20" i="11"/>
  <c r="H20" i="11"/>
  <c r="D20" i="11"/>
  <c r="C20" i="11"/>
  <c r="B20" i="11"/>
  <c r="M19" i="11"/>
  <c r="L19" i="11"/>
  <c r="K19" i="11"/>
  <c r="M18" i="11"/>
  <c r="L18" i="11"/>
  <c r="K18" i="11"/>
  <c r="M17" i="11"/>
  <c r="L17" i="11"/>
  <c r="K17" i="11"/>
  <c r="J16" i="11"/>
  <c r="I16" i="11"/>
  <c r="H16" i="11"/>
  <c r="D16" i="11"/>
  <c r="C16" i="11"/>
  <c r="B16" i="11"/>
  <c r="M15" i="11"/>
  <c r="L15" i="11"/>
  <c r="K15" i="11"/>
  <c r="M14" i="11"/>
  <c r="L14" i="11"/>
  <c r="K14" i="11"/>
  <c r="M13" i="11"/>
  <c r="L13" i="11"/>
  <c r="K13" i="11"/>
  <c r="M10" i="11"/>
  <c r="M12" i="11" s="1"/>
  <c r="L10" i="11"/>
  <c r="L12" i="11" s="1"/>
  <c r="K10" i="11"/>
  <c r="K12" i="11" s="1"/>
  <c r="I26" i="10"/>
  <c r="H26" i="10"/>
  <c r="H27" i="10" s="1"/>
  <c r="G26" i="10"/>
  <c r="F26" i="10"/>
  <c r="F27" i="10" s="1"/>
  <c r="M26" i="10"/>
  <c r="L26" i="10"/>
  <c r="L27" i="10" s="1"/>
  <c r="K26" i="10"/>
  <c r="J26" i="10"/>
  <c r="J27" i="10" s="1"/>
  <c r="E26" i="10"/>
  <c r="D26" i="10"/>
  <c r="D27" i="10" s="1"/>
  <c r="C26" i="10"/>
  <c r="B26" i="10"/>
  <c r="B27" i="10" s="1"/>
  <c r="Q25" i="10"/>
  <c r="P25" i="10"/>
  <c r="O25" i="10"/>
  <c r="N25" i="10"/>
  <c r="Q24" i="10"/>
  <c r="P24" i="10"/>
  <c r="P26" i="10" s="1"/>
  <c r="P27" i="10" s="1"/>
  <c r="O24" i="10"/>
  <c r="N24" i="10"/>
  <c r="N26" i="10" s="1"/>
  <c r="N27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I17" i="10"/>
  <c r="H17" i="10"/>
  <c r="G17" i="10"/>
  <c r="F17" i="10"/>
  <c r="M17" i="10"/>
  <c r="L17" i="10"/>
  <c r="K17" i="10"/>
  <c r="J17" i="10"/>
  <c r="E17" i="10"/>
  <c r="D17" i="10"/>
  <c r="C17" i="10"/>
  <c r="B17" i="10"/>
  <c r="Q16" i="10"/>
  <c r="P16" i="10"/>
  <c r="P17" i="10" s="1"/>
  <c r="O16" i="10"/>
  <c r="N16" i="10"/>
  <c r="N17" i="10" s="1"/>
  <c r="Q15" i="10"/>
  <c r="P15" i="10"/>
  <c r="O15" i="10"/>
  <c r="N15" i="10"/>
  <c r="Q14" i="10"/>
  <c r="P14" i="10"/>
  <c r="O14" i="10"/>
  <c r="N14" i="10"/>
  <c r="Q11" i="10"/>
  <c r="Q13" i="10" s="1"/>
  <c r="P11" i="10"/>
  <c r="P13" i="10" s="1"/>
  <c r="O11" i="10"/>
  <c r="O13" i="10" s="1"/>
  <c r="N11" i="10"/>
  <c r="H66" i="12"/>
  <c r="I55" i="12" s="1"/>
  <c r="G54" i="12"/>
  <c r="I24" i="9"/>
  <c r="H24" i="9"/>
  <c r="G24" i="9"/>
  <c r="F24" i="9"/>
  <c r="E24" i="9"/>
  <c r="D24" i="9"/>
  <c r="C24" i="9"/>
  <c r="B24" i="9"/>
  <c r="K23" i="9"/>
  <c r="J23" i="9"/>
  <c r="K22" i="9"/>
  <c r="J22" i="9"/>
  <c r="K21" i="9"/>
  <c r="J21" i="9"/>
  <c r="I20" i="9"/>
  <c r="H20" i="9"/>
  <c r="G20" i="9"/>
  <c r="F20" i="9"/>
  <c r="E20" i="9"/>
  <c r="D20" i="9"/>
  <c r="C20" i="9"/>
  <c r="B20" i="9"/>
  <c r="K19" i="9"/>
  <c r="J19" i="9"/>
  <c r="K18" i="9"/>
  <c r="J18" i="9"/>
  <c r="K17" i="9"/>
  <c r="J17" i="9"/>
  <c r="I16" i="9"/>
  <c r="H16" i="9"/>
  <c r="G16" i="9"/>
  <c r="F16" i="9"/>
  <c r="E16" i="9"/>
  <c r="D16" i="9"/>
  <c r="C16" i="9"/>
  <c r="B16" i="9"/>
  <c r="K15" i="9"/>
  <c r="J15" i="9"/>
  <c r="K14" i="9"/>
  <c r="J14" i="9"/>
  <c r="K13" i="9"/>
  <c r="J13" i="9"/>
  <c r="I12" i="9"/>
  <c r="H12" i="9"/>
  <c r="G12" i="9"/>
  <c r="F12" i="9"/>
  <c r="G25" i="8"/>
  <c r="F25" i="8"/>
  <c r="F26" i="8" s="1"/>
  <c r="E25" i="8"/>
  <c r="E26" i="8" s="1"/>
  <c r="J25" i="8"/>
  <c r="I25" i="8"/>
  <c r="I26" i="8" s="1"/>
  <c r="H25" i="8"/>
  <c r="H26" i="8" s="1"/>
  <c r="D25" i="8"/>
  <c r="C25" i="8"/>
  <c r="C26" i="8" s="1"/>
  <c r="B25" i="8"/>
  <c r="B26" i="8" s="1"/>
  <c r="M24" i="8"/>
  <c r="L24" i="8"/>
  <c r="L25" i="8" s="1"/>
  <c r="L26" i="8" s="1"/>
  <c r="K24" i="8"/>
  <c r="K25" i="8" s="1"/>
  <c r="K26" i="8" s="1"/>
  <c r="M23" i="8"/>
  <c r="L23" i="8"/>
  <c r="K23" i="8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G16" i="8"/>
  <c r="F16" i="8"/>
  <c r="E16" i="8"/>
  <c r="J16" i="8"/>
  <c r="I16" i="8"/>
  <c r="H16" i="8"/>
  <c r="D16" i="8"/>
  <c r="C16" i="8"/>
  <c r="B16" i="8"/>
  <c r="M15" i="8"/>
  <c r="L15" i="8"/>
  <c r="L16" i="8" s="1"/>
  <c r="K15" i="8"/>
  <c r="K16" i="8" s="1"/>
  <c r="M14" i="8"/>
  <c r="L14" i="8"/>
  <c r="K14" i="8"/>
  <c r="M13" i="8"/>
  <c r="L13" i="8"/>
  <c r="K13" i="8"/>
  <c r="M10" i="8"/>
  <c r="M12" i="8" s="1"/>
  <c r="L10" i="8"/>
  <c r="K10" i="8"/>
  <c r="C23" i="6"/>
  <c r="B23" i="6"/>
  <c r="C19" i="6"/>
  <c r="B19" i="6"/>
  <c r="C15" i="6"/>
  <c r="B15" i="6"/>
  <c r="B23" i="5"/>
  <c r="C22" i="5"/>
  <c r="C21" i="5"/>
  <c r="C20" i="5"/>
  <c r="B19" i="5"/>
  <c r="C18" i="5"/>
  <c r="C17" i="5"/>
  <c r="C16" i="5"/>
  <c r="B15" i="5"/>
  <c r="D15" i="5" s="1"/>
  <c r="C14" i="5"/>
  <c r="C13" i="5"/>
  <c r="C12" i="5"/>
  <c r="C23" i="7"/>
  <c r="B23" i="7"/>
  <c r="D22" i="7"/>
  <c r="D21" i="7"/>
  <c r="D20" i="7"/>
  <c r="C19" i="7"/>
  <c r="B19" i="7"/>
  <c r="D18" i="7"/>
  <c r="D17" i="7"/>
  <c r="D16" i="7"/>
  <c r="C15" i="7"/>
  <c r="B15" i="7"/>
  <c r="D14" i="7"/>
  <c r="D13" i="7"/>
  <c r="D12" i="7"/>
  <c r="D9" i="7"/>
  <c r="C23" i="4"/>
  <c r="C24" i="4" s="1"/>
  <c r="B23" i="4"/>
  <c r="B24" i="4" s="1"/>
  <c r="D22" i="4"/>
  <c r="F22" i="4" s="1"/>
  <c r="D21" i="4"/>
  <c r="D20" i="4"/>
  <c r="F20" i="4" s="1"/>
  <c r="F23" i="4" s="1"/>
  <c r="C19" i="4"/>
  <c r="B19" i="4"/>
  <c r="D18" i="4"/>
  <c r="F18" i="4" s="1"/>
  <c r="D17" i="4"/>
  <c r="F17" i="4" s="1"/>
  <c r="D16" i="4"/>
  <c r="F16" i="4" s="1"/>
  <c r="F19" i="4" s="1"/>
  <c r="C15" i="4"/>
  <c r="B15" i="4"/>
  <c r="D14" i="4"/>
  <c r="E14" i="4" s="1"/>
  <c r="D13" i="4"/>
  <c r="E13" i="4" s="1"/>
  <c r="D12" i="4"/>
  <c r="F12" i="4" s="1"/>
  <c r="F15" i="4" s="1"/>
  <c r="D9" i="4"/>
  <c r="O10" i="4" s="1"/>
  <c r="E26" i="1"/>
  <c r="C26" i="1"/>
  <c r="B26" i="1"/>
  <c r="F25" i="1"/>
  <c r="D25" i="1"/>
  <c r="F24" i="1"/>
  <c r="D24" i="1"/>
  <c r="F23" i="1"/>
  <c r="D23" i="1"/>
  <c r="F22" i="1"/>
  <c r="D22" i="1"/>
  <c r="E21" i="1"/>
  <c r="C21" i="1"/>
  <c r="B21" i="1"/>
  <c r="F20" i="1"/>
  <c r="D20" i="1"/>
  <c r="F19" i="1"/>
  <c r="D19" i="1"/>
  <c r="F18" i="1"/>
  <c r="D18" i="1"/>
  <c r="E17" i="1"/>
  <c r="C17" i="1"/>
  <c r="B17" i="1"/>
  <c r="F16" i="1"/>
  <c r="D16" i="1"/>
  <c r="F15" i="1"/>
  <c r="D15" i="1"/>
  <c r="F14" i="1"/>
  <c r="D14" i="1"/>
  <c r="F11" i="1"/>
  <c r="D11" i="1"/>
  <c r="H23" i="13" l="1"/>
  <c r="M66" i="12"/>
  <c r="L66" i="12"/>
  <c r="M55" i="12" s="1"/>
  <c r="D23" i="5"/>
  <c r="R13" i="10"/>
  <c r="R28" i="10" s="1"/>
  <c r="C27" i="1"/>
  <c r="B23" i="15"/>
  <c r="D23" i="15"/>
  <c r="K23" i="13"/>
  <c r="E43" i="13"/>
  <c r="C25" i="9"/>
  <c r="K43" i="13"/>
  <c r="F13" i="4"/>
  <c r="F25" i="9"/>
  <c r="D25" i="9"/>
  <c r="J20" i="9"/>
  <c r="B25" i="9"/>
  <c r="D26" i="1"/>
  <c r="H43" i="13"/>
  <c r="C24" i="7"/>
  <c r="L16" i="11"/>
  <c r="B24" i="7"/>
  <c r="H25" i="9"/>
  <c r="J24" i="9"/>
  <c r="C23" i="15"/>
  <c r="D21" i="1"/>
  <c r="C23" i="5"/>
  <c r="I25" i="9"/>
  <c r="I65" i="12"/>
  <c r="J25" i="11"/>
  <c r="M20" i="11"/>
  <c r="E23" i="13"/>
  <c r="F21" i="1"/>
  <c r="F26" i="1"/>
  <c r="D23" i="7"/>
  <c r="J16" i="9"/>
  <c r="E12" i="4"/>
  <c r="E15" i="4" s="1"/>
  <c r="E20" i="4"/>
  <c r="E23" i="4" s="1"/>
  <c r="D19" i="7"/>
  <c r="F14" i="4"/>
  <c r="D11" i="4"/>
  <c r="D15" i="4"/>
  <c r="T43" i="8"/>
  <c r="T40" i="8"/>
  <c r="K27" i="10"/>
  <c r="B27" i="1"/>
  <c r="D23" i="4"/>
  <c r="D24" i="4" s="1"/>
  <c r="E22" i="4"/>
  <c r="E23" i="15"/>
  <c r="K24" i="9"/>
  <c r="D15" i="7"/>
  <c r="S31" i="8"/>
  <c r="S43" i="8"/>
  <c r="S40" i="8"/>
  <c r="K16" i="9"/>
  <c r="K20" i="9"/>
  <c r="K20" i="11"/>
  <c r="D11" i="7"/>
  <c r="E17" i="4"/>
  <c r="F14" i="15"/>
  <c r="G14" i="15" s="1"/>
  <c r="F18" i="15"/>
  <c r="G18" i="15" s="1"/>
  <c r="F22" i="15"/>
  <c r="G22" i="15" s="1"/>
  <c r="D17" i="1"/>
  <c r="D19" i="4"/>
  <c r="C19" i="5"/>
  <c r="E25" i="9"/>
  <c r="O17" i="10"/>
  <c r="O9" i="4"/>
  <c r="F17" i="1"/>
  <c r="E21" i="4"/>
  <c r="E24" i="4" s="1"/>
  <c r="D19" i="5"/>
  <c r="I27" i="10"/>
  <c r="E16" i="4"/>
  <c r="E19" i="4" s="1"/>
  <c r="E18" i="4"/>
  <c r="F21" i="4"/>
  <c r="F24" i="4" s="1"/>
  <c r="G25" i="9"/>
  <c r="I25" i="11"/>
  <c r="K16" i="11"/>
  <c r="L20" i="11"/>
  <c r="K24" i="11"/>
  <c r="M24" i="11"/>
  <c r="C27" i="10"/>
  <c r="M27" i="10"/>
  <c r="O26" i="10"/>
  <c r="L24" i="11"/>
  <c r="D25" i="11"/>
  <c r="M16" i="11"/>
  <c r="H25" i="11"/>
  <c r="B25" i="11"/>
  <c r="C25" i="11"/>
  <c r="N43" i="13"/>
  <c r="I54" i="12"/>
  <c r="I57" i="12"/>
  <c r="I58" i="12"/>
  <c r="K12" i="9"/>
  <c r="S34" i="8"/>
  <c r="E9" i="4"/>
  <c r="E11" i="4" s="1"/>
  <c r="F9" i="4"/>
  <c r="I61" i="12"/>
  <c r="Q21" i="10"/>
  <c r="G27" i="10"/>
  <c r="Q26" i="10"/>
  <c r="Q17" i="10"/>
  <c r="O21" i="10"/>
  <c r="E27" i="10"/>
  <c r="F10" i="15"/>
  <c r="J12" i="9"/>
  <c r="Q15" i="8"/>
  <c r="M16" i="8"/>
  <c r="J26" i="8"/>
  <c r="M20" i="8"/>
  <c r="M25" i="8"/>
  <c r="Q10" i="8"/>
  <c r="F13" i="1"/>
  <c r="G66" i="12"/>
  <c r="I60" i="12"/>
  <c r="I64" i="12"/>
  <c r="I63" i="12"/>
  <c r="I56" i="12"/>
  <c r="I59" i="12"/>
  <c r="I62" i="12"/>
  <c r="T34" i="8"/>
  <c r="T31" i="8"/>
  <c r="D26" i="8"/>
  <c r="G26" i="8"/>
  <c r="B24" i="5"/>
  <c r="C15" i="5"/>
  <c r="K25" i="9" l="1"/>
  <c r="D27" i="1"/>
  <c r="L25" i="11"/>
  <c r="J25" i="9"/>
  <c r="Q28" i="10"/>
  <c r="U43" i="8"/>
  <c r="U40" i="8"/>
  <c r="D28" i="8"/>
  <c r="M25" i="4"/>
  <c r="M11" i="4"/>
  <c r="O11" i="4"/>
  <c r="U34" i="8"/>
  <c r="U31" i="8"/>
  <c r="G28" i="8"/>
  <c r="G27" i="8"/>
  <c r="M26" i="8"/>
  <c r="K25" i="11"/>
  <c r="O27" i="10"/>
  <c r="J27" i="8"/>
  <c r="M25" i="11"/>
  <c r="Q27" i="10"/>
  <c r="J28" i="8"/>
  <c r="B25" i="7"/>
  <c r="C25" i="7"/>
  <c r="D24" i="7"/>
  <c r="F11" i="4"/>
  <c r="D27" i="8"/>
  <c r="I66" i="12"/>
  <c r="E27" i="1"/>
  <c r="F27" i="1" s="1"/>
  <c r="G10" i="15"/>
  <c r="F23" i="15"/>
  <c r="G23" i="15" s="1"/>
  <c r="N14" i="13"/>
  <c r="N13" i="13"/>
  <c r="L23" i="13"/>
  <c r="O28" i="10" l="1"/>
  <c r="U9" i="8"/>
  <c r="V11" i="8"/>
  <c r="N2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Augusto Roa Meran</author>
    <author>tc={35910973-7874-4F15-8A11-E9529FBDF1DC}</author>
  </authors>
  <commentList>
    <comment ref="B34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</t>
        </r>
      </text>
    </comment>
    <comment ref="D34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F3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solidarias.</t>
        </r>
      </text>
    </comment>
    <comment ref="H34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J34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Disminución a causa de nivelación de pensiones a RD$ 10,000</t>
        </r>
      </text>
    </comment>
    <comment ref="G35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Incremento en este apartado se debe a la nivelación de pensiones a 10,000 RD$</t>
        </r>
      </text>
    </comment>
    <comment ref="F66" authorId="1" shapeId="0" xr:uid="{35910973-7874-4F15-8A11-E9529FBDF1DC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de confirmación en Nómina, cantidad:  127,302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E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Estas columnas se pueden eliminar</t>
        </r>
      </text>
    </comment>
  </commentList>
</comments>
</file>

<file path=xl/sharedStrings.xml><?xml version="1.0" encoding="utf-8"?>
<sst xmlns="http://schemas.openxmlformats.org/spreadsheetml/2006/main" count="799" uniqueCount="267">
  <si>
    <t>Dirección General de Jubilaciones y Pensiones a Cargo del Estado</t>
  </si>
  <si>
    <t>Mes</t>
  </si>
  <si>
    <t>Cotizantes</t>
  </si>
  <si>
    <t>% Cotizantes</t>
  </si>
  <si>
    <t>No Cotizantes</t>
  </si>
  <si>
    <t>% No Cotizantes</t>
  </si>
  <si>
    <t>Direccion General de Jubilaciones y Pensiones a Cargo del Estado</t>
  </si>
  <si>
    <t>Distribución de Cotizantes por Tipo de Empleador</t>
  </si>
  <si>
    <t>Privado</t>
  </si>
  <si>
    <t>Total</t>
  </si>
  <si>
    <t>Distribución de Aportes</t>
  </si>
  <si>
    <t>Cantidad de Aportes</t>
  </si>
  <si>
    <t>Individualización por tipo de Empleador</t>
  </si>
  <si>
    <t>DGJP</t>
  </si>
  <si>
    <t>PN</t>
  </si>
  <si>
    <t>TOTAL</t>
  </si>
  <si>
    <t>Cantidad Pensionados</t>
  </si>
  <si>
    <t>Cantidad Pensiones</t>
  </si>
  <si>
    <t>Monto</t>
  </si>
  <si>
    <t>Inclusiones</t>
  </si>
  <si>
    <t>Exclusiones</t>
  </si>
  <si>
    <t>Suspensiones</t>
  </si>
  <si>
    <t>Cantidad</t>
  </si>
  <si>
    <t>TOTAL GENERAL</t>
  </si>
  <si>
    <t>Electrónico</t>
  </si>
  <si>
    <t>Cheque</t>
  </si>
  <si>
    <t>Cantidad de Pensiones</t>
  </si>
  <si>
    <t>Cantidad  Pensiones</t>
  </si>
  <si>
    <t>Cantidad Electrónico</t>
  </si>
  <si>
    <t>Cantidad Cheque</t>
  </si>
  <si>
    <t>% Recuperado</t>
  </si>
  <si>
    <t>Restante</t>
  </si>
  <si>
    <t>Absoluto (RD$)</t>
  </si>
  <si>
    <t>Relativo</t>
  </si>
  <si>
    <t>Abril</t>
  </si>
  <si>
    <t>Mayo</t>
  </si>
  <si>
    <t>Junio</t>
  </si>
  <si>
    <t xml:space="preserve">Tipo de Pensión </t>
  </si>
  <si>
    <t xml:space="preserve">Tipo  </t>
  </si>
  <si>
    <t>Porcentaje</t>
  </si>
  <si>
    <t>PENSIÓN CIVIL</t>
  </si>
  <si>
    <t>IDSS</t>
  </si>
  <si>
    <t>GLORIAS DEL DEPORTE</t>
  </si>
  <si>
    <t>PODER LEGISLATIVO</t>
  </si>
  <si>
    <t>PODER EJECUTIVO</t>
  </si>
  <si>
    <t>PENSION POR SOBREVIVENCIA</t>
  </si>
  <si>
    <t>TOTALES:</t>
  </si>
  <si>
    <t>Cantidad 
Pensionados</t>
  </si>
  <si>
    <t xml:space="preserve">Público 
</t>
  </si>
  <si>
    <t>Cantidad 
Pensiones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</si>
  <si>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</si>
  <si>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</si>
  <si>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</si>
  <si>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</si>
  <si>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</si>
  <si>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Pensiones por Monto</t>
  </si>
  <si>
    <t>Rango</t>
  </si>
  <si>
    <t xml:space="preserve">Cantidad </t>
  </si>
  <si>
    <t>Menos de RD$5117.50</t>
  </si>
  <si>
    <t>Igual a RD$5117.51</t>
  </si>
  <si>
    <t>&gt;=100,000.00</t>
  </si>
  <si>
    <t>Pensiones por Edad</t>
  </si>
  <si>
    <t xml:space="preserve">Descripción </t>
  </si>
  <si>
    <t>Recibidas</t>
  </si>
  <si>
    <t>Procesadas</t>
  </si>
  <si>
    <t>% Eficiencia</t>
  </si>
  <si>
    <t>Aplicación Descuento 2%</t>
  </si>
  <si>
    <t>Modificación de Datos</t>
  </si>
  <si>
    <t>Pensión por Sobrevivencia Concubin@</t>
  </si>
  <si>
    <t>Pensión por Sobrevivencia Conyuge</t>
  </si>
  <si>
    <t>Reactivación</t>
  </si>
  <si>
    <t>Reembolso</t>
  </si>
  <si>
    <t>Reinclusión</t>
  </si>
  <si>
    <t>Retroactivo</t>
  </si>
  <si>
    <t>Solicitud Inclusión a Nómina</t>
  </si>
  <si>
    <t>Solicitud de Pensión</t>
  </si>
  <si>
    <t>Suspensión Descuento 2%</t>
  </si>
  <si>
    <t>Total:</t>
  </si>
  <si>
    <t>Pensión por Sobrevivencia Menor</t>
  </si>
  <si>
    <t>Reajuste de Pensión</t>
  </si>
  <si>
    <t>Julio</t>
  </si>
  <si>
    <t>Agosto</t>
  </si>
  <si>
    <t>Septiembre</t>
  </si>
  <si>
    <t>Octubre</t>
  </si>
  <si>
    <t>Noviembre</t>
  </si>
  <si>
    <t>Diciembre</t>
  </si>
  <si>
    <t>3er Trimestre</t>
  </si>
  <si>
    <t>4to Trimestre</t>
  </si>
  <si>
    <t>Solicitudes Recibidas</t>
  </si>
  <si>
    <t>Cantidad de Tramites Procesados</t>
  </si>
  <si>
    <t>% Privado</t>
  </si>
  <si>
    <t>% Público</t>
  </si>
  <si>
    <t>10,000.00 - 20,000.00</t>
  </si>
  <si>
    <t>5,117.50 - 10,000.00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</si>
  <si>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</si>
  <si>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</si>
  <si>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</si>
  <si>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</si>
  <si>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</si>
  <si>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</si>
  <si>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</si>
  <si>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</si>
  <si>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</si>
  <si>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</si>
  <si>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</si>
  <si>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</si>
  <si>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</si>
  <si>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</si>
  <si>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</si>
  <si>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</si>
  <si>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Menos 18 años</t>
  </si>
  <si>
    <t xml:space="preserve">Electrónico </t>
  </si>
  <si>
    <t>Departamento Administrativo y Financiero</t>
  </si>
  <si>
    <t>Departamento de Gestión Financiera de Pensiones</t>
  </si>
  <si>
    <t>División de Seguimiento al Sistema de Reparto</t>
  </si>
  <si>
    <t>Gestión de Servicios a Pensionados</t>
  </si>
  <si>
    <t>Dirección de Servicios y Trámite de Pensiones</t>
  </si>
  <si>
    <t>PABELLÓN DE LA FAMA</t>
  </si>
  <si>
    <t>T4</t>
  </si>
  <si>
    <t>Regalía</t>
  </si>
  <si>
    <t>Diciembre**</t>
  </si>
  <si>
    <t xml:space="preserve"> **Estos totales incluyen las nóminas adicionales de regalía de pensionados inactivos.</t>
  </si>
  <si>
    <t>2do Trimestre</t>
  </si>
  <si>
    <t xml:space="preserve">Julio </t>
  </si>
  <si>
    <t>Promedio
2do Trimestre</t>
  </si>
  <si>
    <t>Promedio
3er Trimestre</t>
  </si>
  <si>
    <t>Promedio
4to Trimestre</t>
  </si>
  <si>
    <t>T2</t>
  </si>
  <si>
    <t>T3</t>
  </si>
  <si>
    <t>Público (RD$)</t>
  </si>
  <si>
    <t>Privado (RD$)</t>
  </si>
  <si>
    <t>Total (RD$)</t>
  </si>
  <si>
    <t>Pensiones Solidarias</t>
  </si>
  <si>
    <t>Δ Absoluta</t>
  </si>
  <si>
    <t>Δ Relativa</t>
  </si>
  <si>
    <t>Pensiones</t>
  </si>
  <si>
    <t>Variaciones</t>
  </si>
  <si>
    <t>Registro de Poder</t>
  </si>
  <si>
    <t>Abril-Junio 2019</t>
  </si>
  <si>
    <t xml:space="preserve">Cantidad* </t>
  </si>
  <si>
    <t>Monto*</t>
  </si>
  <si>
    <t>Pensionados</t>
  </si>
  <si>
    <t>Ajustes Monto Pensiones</t>
  </si>
  <si>
    <t>POLICÍA NACIONAL</t>
  </si>
  <si>
    <t>PENSIÓN SOLIDARIA</t>
  </si>
  <si>
    <r>
      <t>*</t>
    </r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Datos extraídos de SIJUPEN.</t>
    </r>
  </si>
  <si>
    <t>*Datos extraídos de SIJUPEN.</t>
  </si>
  <si>
    <t>Ejecución Presupuesto Administrativo</t>
  </si>
  <si>
    <t>Ejecución Presupuesto Pensionados</t>
  </si>
  <si>
    <r>
      <rPr>
        <b/>
        <sz val="8"/>
        <color rgb="FF000000"/>
        <rFont val="Calibri"/>
        <family val="2"/>
        <scheme val="minor"/>
      </rPr>
      <t>*Nota: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</si>
  <si>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t>Nómina de Pensionados</t>
  </si>
  <si>
    <t>Movimientos en Nómina</t>
  </si>
  <si>
    <t>Modalidad de Pago</t>
  </si>
  <si>
    <t>Pago de Retroactivos</t>
  </si>
  <si>
    <t>Recuperación de Fondos</t>
  </si>
  <si>
    <t>Cantidad de Cotizantes por Tipo de Empleador</t>
  </si>
  <si>
    <t>Año 2021</t>
  </si>
  <si>
    <t>Estadíticas Trimestre Enero-Marzo</t>
  </si>
  <si>
    <t>Reintegro de Cheques</t>
  </si>
  <si>
    <t>Cantidad 
de Cheques</t>
  </si>
  <si>
    <t xml:space="preserve"> *Estos totales incluyen las nóminas adicionales de regalía de pensionados inactivos.</t>
  </si>
  <si>
    <t>Créditos Rechazados</t>
  </si>
  <si>
    <t xml:space="preserve">Cantidad 
</t>
  </si>
  <si>
    <t>Individualización de aportes por tipo de Empleador</t>
  </si>
  <si>
    <t>Fuente: SIJUPEN</t>
  </si>
  <si>
    <t>Pensión por Sobrevivencia Padre/Madre</t>
  </si>
  <si>
    <t>Modificación de Datos Críticos</t>
  </si>
  <si>
    <t>Sin fecha de nacimiento</t>
  </si>
  <si>
    <t>Presupuesto Programado</t>
  </si>
  <si>
    <t>Presupuesto Ejecutado</t>
  </si>
  <si>
    <t>Cantidad de Traspasos</t>
  </si>
  <si>
    <t>Recibidos (SCI a Reparto)</t>
  </si>
  <si>
    <t>Cedidos (Reparto a SCI)</t>
  </si>
  <si>
    <t>Tipo Cantidad Porcentaje Monto Porcentaje</t>
  </si>
  <si>
    <t>PENSIÓN</t>
  </si>
  <si>
    <t>CIVIL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</si>
  <si>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</si>
  <si>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</si>
  <si>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</si>
  <si>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</si>
  <si>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</si>
  <si>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</si>
  <si>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</si>
  <si>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</si>
  <si>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</si>
  <si>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</si>
  <si>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</si>
  <si>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</si>
  <si>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</si>
  <si>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</si>
  <si>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</si>
  <si>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</si>
  <si>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Cantidad*</t>
  </si>
  <si>
    <t>Menos</t>
  </si>
  <si>
    <t>de</t>
  </si>
  <si>
    <t>RD$5117.50</t>
  </si>
  <si>
    <t>Igual</t>
  </si>
  <si>
    <t>a</t>
  </si>
  <si>
    <t>RD$5117.51</t>
  </si>
  <si>
    <t>-</t>
  </si>
  <si>
    <t>con</t>
  </si>
  <si>
    <t>Nacimiento</t>
  </si>
  <si>
    <t>Cantidad 
(Var Absoluta)</t>
  </si>
  <si>
    <t>Monto
(Var Absoluta)</t>
  </si>
  <si>
    <t>Porcentaje
(Var Porcentual)</t>
  </si>
  <si>
    <t>Trimestre Abril-Junio
Al 30 de Junio 2021</t>
  </si>
  <si>
    <t>Estadíticas Trimestre Abril-Junio</t>
  </si>
  <si>
    <t>Afiliados y Cotizantes</t>
  </si>
  <si>
    <t>Enero-Abril 2021</t>
  </si>
  <si>
    <t>Abril-Junio 2020</t>
  </si>
  <si>
    <t>Ajuste de Partidas Devengadas</t>
  </si>
  <si>
    <t>Programación Total</t>
  </si>
  <si>
    <t>Programación Presupuestaria</t>
  </si>
  <si>
    <t>Programación Ordinaria (RD$)</t>
  </si>
  <si>
    <t>Ejecución Presupuestaria</t>
  </si>
  <si>
    <t xml:space="preserve"> Ejecutado</t>
  </si>
  <si>
    <t>Pensiones Civiles</t>
  </si>
  <si>
    <t>Regalia</t>
  </si>
  <si>
    <t>Año 2022</t>
  </si>
  <si>
    <t>Nóminas Autoseguro</t>
  </si>
  <si>
    <t>Nómina Mensual Discapacidad Civil</t>
  </si>
  <si>
    <t>Nómina Mensual Sobrevivencia Civil</t>
  </si>
  <si>
    <t>Nómina Mensual Sobrevivencia Policía</t>
  </si>
  <si>
    <t>Cantidad Beneficiarios</t>
  </si>
  <si>
    <t>Monto Bruto
(RD$)</t>
  </si>
  <si>
    <t>AFP
(RD$)</t>
  </si>
  <si>
    <t>SFS
(RD$)</t>
  </si>
  <si>
    <t>Monto Neto
(RD$)</t>
  </si>
  <si>
    <t>Afiliados Policia Nacional</t>
  </si>
  <si>
    <t>Fuente: EasyNómina</t>
  </si>
  <si>
    <t>Fuente: SIGEF, División de Presupuesto de Pensiones</t>
  </si>
  <si>
    <t>Afiliados al Sistema de Reparto</t>
  </si>
  <si>
    <t>Monto Traspasado</t>
  </si>
  <si>
    <t>Nómina Deuda Retroactiva 
Discapacidad Civil</t>
  </si>
  <si>
    <t>Nómina Deuda Retroactiva
Sobrevivencia Civil</t>
  </si>
  <si>
    <t>Nómina Deuda Retroactiva
Sobrevivencia Policía Nacional</t>
  </si>
  <si>
    <t>Fuente: División de Nómina</t>
  </si>
  <si>
    <r>
      <t>*</t>
    </r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No incluye los pensionados de la Policía Nacional, el pico en las variaciones del trimestre son producto de la nivelación de pensiones a 10,000RD$.</t>
    </r>
  </si>
  <si>
    <r>
      <rPr>
        <b/>
        <sz val="8"/>
        <rFont val="Calibri"/>
        <family val="2"/>
        <scheme val="minor"/>
      </rPr>
      <t>*Nota 2</t>
    </r>
    <r>
      <rPr>
        <sz val="8"/>
        <rFont val="Calibri"/>
        <family val="2"/>
        <scheme val="minor"/>
      </rPr>
      <t>: Incluye los montos y cantidad de Pensiones Solidarias.</t>
    </r>
  </si>
  <si>
    <t>Estadísticas Trimestre Julio-Septiembre</t>
  </si>
  <si>
    <t>Promedio 3er Trimestre</t>
  </si>
  <si>
    <t xml:space="preserve">Septiembre </t>
  </si>
  <si>
    <t xml:space="preserve">Estadísticas Trimestre Julio-Septiembre </t>
  </si>
  <si>
    <t>Trimestre Julio-Septiembre
Al 30 de Septiembre 2021</t>
  </si>
  <si>
    <t>Trimestre Julio-Septiembre
Al 30 de Septiembre 2022</t>
  </si>
  <si>
    <t>Estadíticas Trimestre Julio-Septiembre</t>
  </si>
  <si>
    <t>*Datos generados de SIJUPEN al 01 de octubre 2022.</t>
  </si>
  <si>
    <t xml:space="preserve"> </t>
  </si>
  <si>
    <t>*Nota: Para el calculo de las variaciones de Julio, se utilizó la cantidad de aportes de Junio 2022 (40,443); Para las variaciones del trimestre, el total de aportes correspondientes al Trimestre Abril-Junio 2022 (T2) (105,536).</t>
  </si>
  <si>
    <t>Nómina Mensual Discapacidad Policía Nacional</t>
  </si>
  <si>
    <r>
      <rPr>
        <b/>
        <sz val="7"/>
        <color theme="1"/>
        <rFont val="Calibri"/>
        <family val="2"/>
        <scheme val="minor"/>
      </rPr>
      <t>Nota 1</t>
    </r>
    <r>
      <rPr>
        <sz val="7"/>
        <color theme="1"/>
        <rFont val="Calibri"/>
        <family val="2"/>
        <scheme val="minor"/>
      </rPr>
      <t xml:space="preserve">: Se presenta la información en base a los trámites gestionados dentro del mes por las distintas divisiones del departamento de Gestión Financiera. </t>
    </r>
  </si>
  <si>
    <r>
      <rPr>
        <b/>
        <sz val="7"/>
        <rFont val="Calibri"/>
        <family val="2"/>
        <scheme val="minor"/>
      </rPr>
      <t>Nota 2</t>
    </r>
    <r>
      <rPr>
        <sz val="7"/>
        <rFont val="Calibri"/>
        <family val="2"/>
        <scheme val="minor"/>
      </rPr>
      <t>: El Monto ejecutado mensual corresponde al pago de nómina del mes, más los retroactivos del mes anterior (T-2), Estos montos están sujetos a variación de acuerdo con la efectividad del pago.</t>
    </r>
  </si>
  <si>
    <t>Pensión por sobrevivencia</t>
  </si>
  <si>
    <t>Solicitud Pago Único Compensatorio</t>
  </si>
  <si>
    <t>Solicitud de Reclamación de Deuda</t>
  </si>
  <si>
    <t>Solicitud Aplicación/Suspensión de Descuento 2%</t>
  </si>
  <si>
    <t>Solicitud de Exclusión y Suspension</t>
  </si>
  <si>
    <t>Solicitud de Inclusión a Nómina</t>
  </si>
  <si>
    <t>Solicitud Re-activación/Re-inclusión Pensión</t>
  </si>
  <si>
    <t>Fuente: SIGEF</t>
  </si>
  <si>
    <t>0-18</t>
  </si>
  <si>
    <t>Fuente: Division de Atencion al Publico</t>
  </si>
  <si>
    <t>Fuente: Departamento de Trámite de Pensiones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</si>
  <si>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estraída de UNIPAGO, analizada por la División de Seguimiento al Sistema de Reparto</t>
    </r>
  </si>
  <si>
    <t>Fuente: data estraída de UNIPAGO, analizada por la División de Seguimiento al Sistema de Reparto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</si>
  <si>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Falta de movimientos en el mes de agosto se debe al corte de implementación SJP</t>
    </r>
  </si>
  <si>
    <r>
      <rPr>
        <b/>
        <sz val="7"/>
        <rFont val="Calibri"/>
        <family val="2"/>
        <scheme val="minor"/>
      </rPr>
      <t xml:space="preserve">Nota: </t>
    </r>
    <r>
      <rPr>
        <sz val="7"/>
        <rFont val="Calibri"/>
        <family val="2"/>
        <scheme val="minor"/>
      </rPr>
      <t>La sobreejecución en el mes de agosto por encima del 5% se debió a que ejecutamos partidas presupuestarias programadas para el mes de Septiembre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</si>
</sst>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379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Fill="1" applyBorder="1" applyAlignment="1" applyProtection="1">
      <alignment horizontal="center" vertical="center"/>
    </xf>
    <xf numFmtId="9" fontId="7" fillId="7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9" fontId="3" fillId="7" borderId="0" xfId="0" applyNumberFormat="1" applyFont="1" applyFill="1" applyBorder="1" applyAlignment="1" applyProtection="1">
      <alignment horizontal="center" vertical="center"/>
    </xf>
    <xf numFmtId="9" fontId="3" fillId="10" borderId="0" xfId="0" applyNumberFormat="1" applyFont="1" applyFill="1" applyBorder="1" applyAlignment="1" applyProtection="1">
      <alignment horizontal="center" vertical="center"/>
    </xf>
    <xf numFmtId="9" fontId="7" fillId="10" borderId="0" xfId="0" applyNumberFormat="1" applyFont="1" applyFill="1" applyBorder="1" applyAlignment="1" applyProtection="1">
      <alignment horizontal="center" vertical="center"/>
    </xf>
    <xf numFmtId="3" fontId="6" fillId="7" borderId="0" xfId="0" applyNumberFormat="1" applyFont="1" applyFill="1" applyBorder="1" applyAlignment="1" applyProtection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/>
      <protection locked="0"/>
    </xf>
    <xf numFmtId="165" fontId="6" fillId="7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3" fontId="6" fillId="10" borderId="0" xfId="0" applyNumberFormat="1" applyFont="1" applyFill="1" applyBorder="1" applyAlignment="1" applyProtection="1">
      <alignment horizontal="left" vertical="center" wrapText="1"/>
    </xf>
    <xf numFmtId="9" fontId="2" fillId="9" borderId="0" xfId="1" applyFont="1" applyFill="1" applyAlignment="1" applyProtection="1">
      <alignment horizontal="center"/>
    </xf>
    <xf numFmtId="0" fontId="2" fillId="9" borderId="0" xfId="0" applyFont="1" applyFill="1" applyProtection="1"/>
    <xf numFmtId="3" fontId="3" fillId="0" borderId="0" xfId="0" applyNumberFormat="1" applyFon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 wrapText="1"/>
    </xf>
    <xf numFmtId="0" fontId="6" fillId="10" borderId="0" xfId="0" applyFont="1" applyFill="1" applyBorder="1" applyAlignment="1" applyProtection="1">
      <alignment horizontal="center" vertical="center" wrapText="1"/>
    </xf>
    <xf numFmtId="0" fontId="0" fillId="10" borderId="0" xfId="0" applyFill="1" applyProtection="1"/>
    <xf numFmtId="0" fontId="4" fillId="0" borderId="0" xfId="0" applyFont="1" applyBorder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5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3" fontId="8" fillId="0" borderId="0" xfId="0" applyNumberFormat="1" applyFont="1" applyBorder="1" applyAlignment="1" applyProtection="1">
      <alignment horizontal="center" vertical="top"/>
      <protection locked="0"/>
    </xf>
    <xf numFmtId="4" fontId="8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vertical="center"/>
    </xf>
    <xf numFmtId="37" fontId="12" fillId="7" borderId="0" xfId="2" applyNumberFormat="1" applyFont="1" applyFill="1" applyBorder="1" applyAlignment="1" applyProtection="1">
      <alignment horizontal="right" vertical="center"/>
    </xf>
    <xf numFmtId="43" fontId="3" fillId="0" borderId="0" xfId="2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vertical="center"/>
    </xf>
    <xf numFmtId="37" fontId="12" fillId="10" borderId="0" xfId="2" applyNumberFormat="1" applyFont="1" applyFill="1" applyBorder="1" applyAlignment="1" applyProtection="1">
      <alignment horizontal="right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6" fillId="10" borderId="0" xfId="0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 vertical="top"/>
    </xf>
    <xf numFmtId="9" fontId="0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Border="1" applyAlignment="1" applyProtection="1">
      <alignment horizontal="center" vertical="center"/>
    </xf>
    <xf numFmtId="3" fontId="17" fillId="7" borderId="0" xfId="0" applyNumberFormat="1" applyFont="1" applyFill="1" applyBorder="1" applyAlignment="1" applyProtection="1">
      <alignment horizontal="center" vertical="center"/>
    </xf>
    <xf numFmtId="165" fontId="0" fillId="1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13" borderId="0" xfId="0" applyFill="1" applyAlignment="1" applyProtection="1">
      <protection locked="0"/>
    </xf>
    <xf numFmtId="10" fontId="8" fillId="0" borderId="0" xfId="1" applyNumberFormat="1" applyFont="1" applyBorder="1" applyAlignment="1" applyProtection="1">
      <alignment horizontal="center" vertical="top"/>
    </xf>
    <xf numFmtId="10" fontId="8" fillId="12" borderId="0" xfId="1" applyNumberFormat="1" applyFont="1" applyFill="1" applyBorder="1" applyAlignment="1" applyProtection="1">
      <alignment horizontal="center" vertical="top"/>
    </xf>
    <xf numFmtId="10" fontId="8" fillId="0" borderId="0" xfId="1" applyNumberFormat="1" applyFont="1" applyFill="1" applyBorder="1" applyAlignment="1" applyProtection="1">
      <alignment horizontal="center" vertical="top"/>
    </xf>
    <xf numFmtId="10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3" fillId="5" borderId="0" xfId="0" applyFont="1" applyFill="1" applyBorder="1" applyAlignment="1" applyProtection="1">
      <alignment horizontal="left" vertical="center"/>
    </xf>
    <xf numFmtId="10" fontId="6" fillId="7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NumberFormat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 applyProtection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vertical="top"/>
    </xf>
    <xf numFmtId="0" fontId="6" fillId="7" borderId="11" xfId="0" applyFont="1" applyFill="1" applyBorder="1" applyAlignment="1" applyProtection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10" xfId="0" applyFont="1" applyFill="1" applyBorder="1" applyAlignment="1" applyProtection="1">
      <alignment vertical="center"/>
    </xf>
    <xf numFmtId="166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0" fontId="0" fillId="0" borderId="5" xfId="1" applyNumberFormat="1" applyFont="1" applyBorder="1" applyAlignment="1" applyProtection="1">
      <alignment horizontal="center"/>
    </xf>
    <xf numFmtId="10" fontId="0" fillId="0" borderId="5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2" fillId="0" borderId="10" xfId="0" applyFont="1" applyFill="1" applyBorder="1" applyAlignment="1" applyProtection="1">
      <alignment horizontal="center" vertical="center"/>
    </xf>
    <xf numFmtId="166" fontId="2" fillId="12" borderId="10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9" fontId="0" fillId="12" borderId="5" xfId="1" applyNumberFormat="1" applyFon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0" fontId="8" fillId="0" borderId="5" xfId="1" applyNumberFormat="1" applyFont="1" applyBorder="1" applyAlignment="1" applyProtection="1">
      <alignment horizontal="center" vertical="top"/>
    </xf>
    <xf numFmtId="10" fontId="8" fillId="0" borderId="5" xfId="1" applyNumberFormat="1" applyFont="1" applyFill="1" applyBorder="1" applyAlignment="1" applyProtection="1">
      <alignment horizontal="center" vertical="top"/>
    </xf>
    <xf numFmtId="43" fontId="0" fillId="0" borderId="0" xfId="2" applyFont="1" applyProtection="1">
      <protection locked="0"/>
    </xf>
    <xf numFmtId="164" fontId="0" fillId="0" borderId="0" xfId="1" applyNumberFormat="1" applyFont="1" applyBorder="1" applyAlignment="1" applyProtection="1">
      <alignment horizontal="center"/>
    </xf>
    <xf numFmtId="165" fontId="4" fillId="0" borderId="0" xfId="2" applyNumberFormat="1" applyFont="1" applyBorder="1" applyAlignment="1" applyProtection="1">
      <alignment horizontal="center"/>
    </xf>
    <xf numFmtId="43" fontId="3" fillId="0" borderId="0" xfId="2" applyNumberFormat="1" applyFont="1" applyFill="1" applyBorder="1" applyAlignment="1" applyProtection="1">
      <alignment horizontal="center" vertical="center"/>
    </xf>
    <xf numFmtId="165" fontId="24" fillId="0" borderId="0" xfId="2" applyNumberFormat="1" applyFont="1" applyFill="1" applyBorder="1" applyAlignment="1" applyProtection="1">
      <alignment horizontal="center" vertical="center"/>
    </xf>
    <xf numFmtId="165" fontId="17" fillId="7" borderId="0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9" fillId="0" borderId="0" xfId="0" applyNumberFormat="1" applyFont="1" applyAlignment="1" applyProtection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vertical="center"/>
    </xf>
    <xf numFmtId="0" fontId="27" fillId="0" borderId="0" xfId="0" applyFont="1" applyProtection="1"/>
    <xf numFmtId="0" fontId="14" fillId="0" borderId="0" xfId="0" applyFont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 wrapText="1"/>
    </xf>
    <xf numFmtId="0" fontId="2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/>
    </xf>
    <xf numFmtId="9" fontId="0" fillId="0" borderId="0" xfId="1" applyFont="1" applyProtection="1"/>
    <xf numFmtId="3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/>
    </xf>
    <xf numFmtId="0" fontId="20" fillId="0" borderId="0" xfId="0" applyFont="1" applyProtection="1"/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26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 vertic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9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0" fillId="0" borderId="0" xfId="0" applyNumberFormat="1" applyProtection="1"/>
    <xf numFmtId="0" fontId="4" fillId="5" borderId="0" xfId="0" applyFont="1" applyFill="1" applyBorder="1" applyProtection="1"/>
    <xf numFmtId="3" fontId="4" fillId="0" borderId="0" xfId="0" applyNumberFormat="1" applyFont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top"/>
    </xf>
    <xf numFmtId="3" fontId="8" fillId="0" borderId="0" xfId="0" applyNumberFormat="1" applyFont="1" applyBorder="1" applyAlignment="1" applyProtection="1">
      <alignment horizontal="center" vertical="top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center"/>
    </xf>
    <xf numFmtId="3" fontId="8" fillId="0" borderId="0" xfId="0" applyNumberFormat="1" applyFont="1" applyAlignment="1" applyProtection="1">
      <alignment horizontal="center" vertical="top"/>
    </xf>
    <xf numFmtId="4" fontId="8" fillId="0" borderId="0" xfId="0" applyNumberFormat="1" applyFont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/>
    </xf>
    <xf numFmtId="4" fontId="8" fillId="0" borderId="0" xfId="0" applyNumberFormat="1" applyFont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center"/>
    </xf>
    <xf numFmtId="4" fontId="0" fillId="0" borderId="0" xfId="0" applyNumberFormat="1" applyProtection="1"/>
    <xf numFmtId="165" fontId="3" fillId="0" borderId="0" xfId="0" applyNumberFormat="1" applyFont="1" applyFill="1" applyBorder="1" applyAlignment="1" applyProtection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0" fontId="2" fillId="9" borderId="0" xfId="1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3" fontId="24" fillId="0" borderId="0" xfId="2" applyNumberFormat="1" applyFont="1" applyBorder="1" applyAlignment="1" applyProtection="1"/>
    <xf numFmtId="3" fontId="4" fillId="0" borderId="0" xfId="2" applyNumberFormat="1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5" fontId="30" fillId="0" borderId="0" xfId="2" applyNumberFormat="1" applyFont="1" applyBorder="1" applyAlignment="1" applyProtection="1">
      <protection locked="0"/>
    </xf>
    <xf numFmtId="165" fontId="30" fillId="0" borderId="0" xfId="2" applyNumberFormat="1" applyFont="1" applyBorder="1" applyAlignment="1" applyProtection="1">
      <alignment horizontal="center"/>
      <protection locked="0"/>
    </xf>
    <xf numFmtId="165" fontId="24" fillId="0" borderId="0" xfId="2" applyNumberFormat="1" applyFont="1" applyBorder="1" applyAlignment="1" applyProtection="1">
      <alignment horizontal="center"/>
      <protection locked="0"/>
    </xf>
    <xf numFmtId="0" fontId="29" fillId="14" borderId="0" xfId="0" applyFont="1" applyFill="1" applyProtection="1">
      <protection locked="0"/>
    </xf>
    <xf numFmtId="0" fontId="24" fillId="14" borderId="0" xfId="0" applyFont="1" applyFill="1" applyBorder="1" applyAlignment="1" applyProtection="1">
      <alignment horizontal="left" vertical="center" wrapText="1"/>
    </xf>
    <xf numFmtId="165" fontId="24" fillId="0" borderId="0" xfId="2" applyNumberFormat="1" applyFont="1" applyBorder="1" applyAlignment="1" applyProtection="1">
      <protection locked="0"/>
    </xf>
    <xf numFmtId="165" fontId="16" fillId="14" borderId="0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39" fontId="4" fillId="0" borderId="0" xfId="2" applyNumberFormat="1" applyFont="1" applyBorder="1" applyAlignment="1" applyProtection="1">
      <alignment horizontal="center" vertical="center"/>
      <protection locked="0"/>
    </xf>
    <xf numFmtId="43" fontId="4" fillId="0" borderId="0" xfId="2" applyFont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Border="1" applyAlignment="1" applyProtection="1">
      <alignment vertical="center"/>
    </xf>
    <xf numFmtId="10" fontId="2" fillId="12" borderId="0" xfId="1" applyNumberFormat="1" applyFont="1" applyFill="1" applyAlignment="1" applyProtection="1">
      <alignment horizontal="center"/>
    </xf>
    <xf numFmtId="165" fontId="24" fillId="0" borderId="0" xfId="2" applyNumberFormat="1" applyFont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 applyProtection="1">
      <alignment horizontal="left" vertical="center"/>
    </xf>
    <xf numFmtId="165" fontId="3" fillId="14" borderId="0" xfId="0" applyNumberFormat="1" applyFont="1" applyFill="1" applyBorder="1" applyAlignment="1" applyProtection="1">
      <alignment horizontal="center" vertical="center" wrapText="1"/>
    </xf>
    <xf numFmtId="43" fontId="3" fillId="14" borderId="0" xfId="0" applyNumberFormat="1" applyFont="1" applyFill="1" applyBorder="1" applyAlignment="1" applyProtection="1">
      <alignment horizontal="center" vertical="center" wrapText="1"/>
    </xf>
    <xf numFmtId="165" fontId="12" fillId="7" borderId="0" xfId="2" applyNumberFormat="1" applyFont="1" applyFill="1" applyBorder="1" applyAlignment="1" applyProtection="1">
      <alignment horizontal="right"/>
    </xf>
    <xf numFmtId="3" fontId="24" fillId="0" borderId="0" xfId="0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 indent="1"/>
    </xf>
    <xf numFmtId="165" fontId="5" fillId="0" borderId="0" xfId="2" applyNumberFormat="1" applyFont="1" applyFill="1" applyBorder="1" applyAlignment="1" applyProtection="1">
      <alignment horizontal="left" vertical="center"/>
    </xf>
    <xf numFmtId="3" fontId="19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12" fillId="14" borderId="0" xfId="0" applyNumberFormat="1" applyFont="1" applyFill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3" fontId="0" fillId="0" borderId="0" xfId="0" applyNumberFormat="1" applyAlignment="1">
      <alignment horizontal="center" vertical="center"/>
    </xf>
    <xf numFmtId="0" fontId="0" fillId="14" borderId="0" xfId="0" applyFill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8" borderId="7" xfId="0" applyFont="1" applyFill="1" applyBorder="1" applyAlignment="1" applyProtection="1">
      <alignment vertical="center" wrapText="1"/>
    </xf>
    <xf numFmtId="3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3" fontId="4" fillId="0" borderId="0" xfId="2" applyNumberFormat="1" applyFont="1" applyBorder="1" applyAlignment="1" applyProtection="1">
      <alignment horizontal="right"/>
      <protection locked="0"/>
    </xf>
    <xf numFmtId="0" fontId="0" fillId="14" borderId="0" xfId="0" applyFill="1" applyProtection="1"/>
    <xf numFmtId="0" fontId="4" fillId="14" borderId="0" xfId="0" applyFont="1" applyFill="1" applyProtection="1"/>
    <xf numFmtId="0" fontId="14" fillId="14" borderId="0" xfId="0" applyFont="1" applyFill="1" applyProtection="1"/>
    <xf numFmtId="0" fontId="14" fillId="14" borderId="0" xfId="0" applyFont="1" applyFill="1" applyProtection="1">
      <protection locked="0"/>
    </xf>
    <xf numFmtId="3" fontId="4" fillId="0" borderId="0" xfId="2" applyNumberFormat="1" applyFont="1" applyBorder="1" applyAlignment="1" applyProtection="1">
      <alignment horizontal="right"/>
    </xf>
    <xf numFmtId="3" fontId="17" fillId="7" borderId="0" xfId="0" applyNumberFormat="1" applyFont="1" applyFill="1" applyBorder="1" applyAlignment="1" applyProtection="1">
      <alignment horizontal="right"/>
    </xf>
    <xf numFmtId="0" fontId="23" fillId="14" borderId="0" xfId="0" applyFont="1" applyFill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14" borderId="0" xfId="0" applyFill="1" applyAlignment="1">
      <alignment horizontal="left"/>
    </xf>
    <xf numFmtId="0" fontId="23" fillId="14" borderId="0" xfId="0" applyFont="1" applyFill="1"/>
    <xf numFmtId="0" fontId="14" fillId="0" borderId="0" xfId="0" applyFont="1"/>
    <xf numFmtId="3" fontId="6" fillId="10" borderId="0" xfId="0" applyNumberFormat="1" applyFont="1" applyFill="1" applyAlignment="1">
      <alignment horizontal="center" vertical="center"/>
    </xf>
    <xf numFmtId="0" fontId="6" fillId="10" borderId="0" xfId="0" applyFont="1" applyFill="1" applyAlignment="1">
      <alignment horizontal="left" vertical="center" wrapText="1"/>
    </xf>
    <xf numFmtId="3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2" fillId="0" borderId="0" xfId="0" applyFont="1" applyProtection="1">
      <protection locked="0"/>
    </xf>
    <xf numFmtId="3" fontId="12" fillId="7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1" fontId="0" fillId="0" borderId="0" xfId="0" applyNumberFormat="1" applyProtection="1">
      <protection locked="0"/>
    </xf>
    <xf numFmtId="9" fontId="0" fillId="0" borderId="0" xfId="1" applyNumberFormat="1" applyFont="1" applyProtection="1">
      <protection locked="0"/>
    </xf>
    <xf numFmtId="0" fontId="31" fillId="7" borderId="0" xfId="0" applyFont="1" applyFill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16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/>
    </xf>
    <xf numFmtId="3" fontId="4" fillId="0" borderId="0" xfId="0" applyNumberFormat="1" applyFont="1" applyAlignment="1" applyProtection="1">
      <alignment horizontal="center"/>
      <protection locked="0"/>
    </xf>
    <xf numFmtId="9" fontId="0" fillId="0" borderId="0" xfId="1" applyNumberFormat="1" applyFont="1" applyAlignment="1" applyProtection="1">
      <alignment horizontal="center" vertical="center"/>
    </xf>
    <xf numFmtId="9" fontId="6" fillId="7" borderId="0" xfId="1" applyNumberFormat="1" applyFont="1" applyFill="1" applyBorder="1" applyAlignment="1" applyProtection="1">
      <alignment horizontal="center" vertical="center"/>
    </xf>
    <xf numFmtId="165" fontId="4" fillId="0" borderId="0" xfId="2" applyNumberFormat="1" applyFont="1" applyBorder="1" applyAlignment="1" applyProtection="1">
      <protection locked="0"/>
    </xf>
    <xf numFmtId="3" fontId="4" fillId="0" borderId="0" xfId="2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37" fontId="4" fillId="0" borderId="0" xfId="2" applyNumberFormat="1" applyFont="1" applyBorder="1" applyAlignment="1" applyProtection="1">
      <alignment horizontal="right" vertical="center"/>
      <protection locked="0"/>
    </xf>
    <xf numFmtId="164" fontId="0" fillId="12" borderId="0" xfId="1" applyNumberFormat="1" applyFont="1" applyFill="1" applyAlignment="1" applyProtection="1">
      <alignment horizontal="center" vertical="center"/>
      <protection locked="0"/>
    </xf>
    <xf numFmtId="9" fontId="0" fillId="12" borderId="0" xfId="1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Border="1" applyProtection="1"/>
    <xf numFmtId="165" fontId="0" fillId="0" borderId="0" xfId="0" applyNumberFormat="1" applyBorder="1" applyProtection="1"/>
    <xf numFmtId="165" fontId="1" fillId="0" borderId="0" xfId="2" applyNumberFormat="1" applyFont="1" applyAlignment="1" applyProtection="1">
      <alignment horizontal="center" vertical="center"/>
      <protection locked="0"/>
    </xf>
    <xf numFmtId="3" fontId="17" fillId="7" borderId="7" xfId="0" applyNumberFormat="1" applyFont="1" applyFill="1" applyBorder="1" applyAlignment="1" applyProtection="1">
      <alignment horizontal="center" vertical="center"/>
    </xf>
    <xf numFmtId="0" fontId="33" fillId="0" borderId="0" xfId="0" applyFont="1"/>
    <xf numFmtId="166" fontId="2" fillId="0" borderId="10" xfId="0" applyNumberFormat="1" applyFont="1" applyFill="1" applyBorder="1" applyAlignment="1" applyProtection="1">
      <alignment vertical="center"/>
    </xf>
    <xf numFmtId="9" fontId="0" fillId="0" borderId="5" xfId="1" applyNumberFormat="1" applyFont="1" applyFill="1" applyBorder="1" applyAlignment="1" applyProtection="1">
      <alignment horizontal="center"/>
    </xf>
    <xf numFmtId="10" fontId="0" fillId="0" borderId="0" xfId="1" applyNumberFormat="1" applyFont="1" applyBorder="1" applyAlignment="1" applyProtection="1">
      <alignment horizontal="center"/>
    </xf>
    <xf numFmtId="165" fontId="36" fillId="0" borderId="0" xfId="0" applyNumberFormat="1" applyFont="1" applyProtection="1">
      <protection locked="0"/>
    </xf>
    <xf numFmtId="3" fontId="16" fillId="7" borderId="0" xfId="0" applyNumberFormat="1" applyFont="1" applyFill="1" applyAlignment="1">
      <alignment horizontal="center" vertical="center"/>
    </xf>
    <xf numFmtId="9" fontId="16" fillId="7" borderId="0" xfId="1" applyFont="1" applyFill="1" applyBorder="1" applyAlignment="1" applyProtection="1">
      <alignment horizontal="center" vertical="center"/>
    </xf>
    <xf numFmtId="3" fontId="37" fillId="7" borderId="0" xfId="0" applyNumberFormat="1" applyFont="1" applyFill="1" applyBorder="1" applyAlignment="1" applyProtection="1">
      <alignment horizontal="center" vertical="center"/>
    </xf>
    <xf numFmtId="9" fontId="16" fillId="7" borderId="0" xfId="0" applyNumberFormat="1" applyFont="1" applyFill="1" applyBorder="1" applyAlignment="1" applyProtection="1">
      <alignment horizontal="center" vertical="center"/>
    </xf>
    <xf numFmtId="165" fontId="17" fillId="7" borderId="0" xfId="0" applyNumberFormat="1" applyFont="1" applyFill="1" applyBorder="1" applyAlignment="1" applyProtection="1">
      <alignment horizontal="center" vertical="center"/>
    </xf>
    <xf numFmtId="0" fontId="34" fillId="14" borderId="0" xfId="0" applyFont="1" applyFill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 vertical="center" wrapText="1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3" fillId="5" borderId="0" xfId="0" applyNumberFormat="1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3" fontId="26" fillId="14" borderId="0" xfId="0" applyNumberFormat="1" applyFont="1" applyFill="1" applyAlignment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1" defaultTableStyle="TableStyleMedium2" defaultPivotStyle="PivotStyleLight16">
    <tableStyle name="Invisible" pivot="0" table="0" count="0" xr9:uid="{EB55D738-EBA8-42B6-A2D2-EFAB11F34F90}"/>
  </tableStyles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100">
                <a:solidFill>
                  <a:schemeClr val="accent1"/>
                </a:solidFill>
              </a:rPr>
              <a:t>Programado vs Ejecutado</a:t>
            </a:r>
          </a:p>
        </c:rich>
      </c:tx>
      <c:layout>
        <c:manualLayout>
          <c:xMode val="edge"/>
          <c:yMode val="edge"/>
          <c:x val="0.37079371203792127"/>
          <c:y val="8.17609900934006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-2.6960416099915951E-3"/>
                  <c:y val="0.42968747988164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8.6248125726919988E-3"/>
                  <c:y val="0.25866537737525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4.2734695700544483E-3"/>
                  <c:y val="0.29165400551596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Adm.'!$B$10:$B$12</c15:sqref>
                  </c15:fullRef>
                </c:ext>
              </c:extLst>
              <c:f>'Presupuesto Adm.'!$B$10:$B$12</c:f>
              <c:numCache>
                <c:formatCode>#,##0</c:formatCode>
                <c:ptCount val="3"/>
                <c:pt idx="0">
                  <c:v>42288256.979999997</c:v>
                </c:pt>
                <c:pt idx="1">
                  <c:v>44061408.979999997</c:v>
                </c:pt>
                <c:pt idx="2">
                  <c:v>41782161.979999997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805669807399E-3"/>
                  <c:y val="0.28427588089419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7.0277250115702104E-3"/>
                  <c:y val="0.27802245272669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7621514736872E-3"/>
                  <c:y val="0.26327875733595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Adm.'!$C$10:$C$12</c15:sqref>
                  </c15:fullRef>
                </c:ext>
              </c:extLst>
              <c:f>'Presupuesto Adm.'!$C$10:$C$12</c:f>
              <c:numCache>
                <c:formatCode>#,##0</c:formatCode>
                <c:ptCount val="3"/>
                <c:pt idx="0">
                  <c:v>39432608.020000003</c:v>
                </c:pt>
                <c:pt idx="1">
                  <c:v>46450709.549999997</c:v>
                </c:pt>
                <c:pt idx="2">
                  <c:v>41299373.719999999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868388303077307E-2"/>
                  <c:y val="-4.233191356768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6.7514523672266388E-2"/>
                  <c:y val="-4.0880495046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2.8927379439434599E-2"/>
                  <c:y val="-3.2704396037360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'Presupuesto Adm.'!$A$20:$A$25</c15:sqref>
                  </c15:fullRef>
                </c:ext>
              </c:extLst>
              <c:f>'Presupuesto Adm.'!$A$20:$A$22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Adm.'!$D$10:$D$12</c15:sqref>
                  </c15:fullRef>
                </c:ext>
              </c:extLst>
              <c:f>'Presupuesto Adm.'!$D$10:$D$12</c:f>
              <c:numCache>
                <c:formatCode>0%</c:formatCode>
                <c:ptCount val="3"/>
                <c:pt idx="0">
                  <c:v>0.93247182163713782</c:v>
                </c:pt>
                <c:pt idx="1">
                  <c:v>1.0542266038538288</c:v>
                </c:pt>
                <c:pt idx="2">
                  <c:v>0.98844511061368501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31800</c:v>
                </c:pt>
                <c:pt idx="1">
                  <c:v>32671</c:v>
                </c:pt>
                <c:pt idx="2">
                  <c:v>32175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7976402002044148E-3"/>
                  <c:y val="1.5071011759344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7-4275-A789-0D686E766E43}"/>
                </c:ext>
              </c:extLst>
            </c:dLbl>
            <c:dLbl>
              <c:idx val="1"/>
              <c:layout>
                <c:manualLayout>
                  <c:x val="-1.1232343215769955E-2"/>
                  <c:y val="-8.586006822698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7-4275-A789-0D686E76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Traspaso!$C$8:$C$10</c:f>
              <c:numCache>
                <c:formatCode>Estándar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4.5491244196637658E-2"/>
                  <c:y val="0.11499063302996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1"/>
              <c:layout>
                <c:manualLayout>
                  <c:x val="-3.7976402002044218E-2"/>
                  <c:y val="0.16075745876634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7-4275-A789-0D686E766E43}"/>
                </c:ext>
              </c:extLst>
            </c:dLbl>
            <c:dLbl>
              <c:idx val="2"/>
              <c:layout>
                <c:manualLayout>
                  <c:x val="-4.2794022574130237E-2"/>
                  <c:y val="0.448770822521233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Traspaso!$B$8:$B$10</c:f>
              <c:numCache>
                <c:formatCode>Estándar</c:formatCode>
                <c:ptCount val="3"/>
                <c:pt idx="0">
                  <c:v>72</c:v>
                </c:pt>
                <c:pt idx="1">
                  <c:v>91</c:v>
                </c:pt>
                <c:pt idx="2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Estándar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Estándar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723077954150127E-2"/>
          <c:y val="0.9041337293198819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Traspaso!$A$8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Traspaso!$D$8</c:f>
              <c:numCache>
                <c:formatCode>_(* #,##0_);_(* \(#,##0\);_(* "-"??_);_(@_)</c:formatCode>
                <c:ptCount val="1"/>
                <c:pt idx="0">
                  <c:v>51083663.75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6-45AA-AADE-47CA6C4D53AA}"/>
            </c:ext>
          </c:extLst>
        </c:ser>
        <c:ser>
          <c:idx val="1"/>
          <c:order val="1"/>
          <c:tx>
            <c:strRef>
              <c:f>Traspaso!$A$9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Traspaso!$D$9</c:f>
              <c:numCache>
                <c:formatCode>_(* #,##0_);_(* \(#,##0\);_(* "-"??_);_(@_)</c:formatCode>
                <c:ptCount val="1"/>
                <c:pt idx="0">
                  <c:v>61902098.68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6-45AA-AADE-47CA6C4D53AA}"/>
            </c:ext>
          </c:extLst>
        </c:ser>
        <c:ser>
          <c:idx val="2"/>
          <c:order val="2"/>
          <c:tx>
            <c:strRef>
              <c:f>Traspaso!$A$10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Traspaso!$D$10</c:f>
              <c:numCache>
                <c:formatCode>_(* #,##0_);_(* \(#,##0\);_(* "-"??_);_(@_)</c:formatCode>
                <c:ptCount val="1"/>
                <c:pt idx="0">
                  <c:v>172850662.19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6-45AA-AADE-47CA6C4D5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ES" sz="900">
                <a:solidFill>
                  <a:schemeClr val="accent1"/>
                </a:solidFill>
              </a:rPr>
              <a:t>Programado</a:t>
            </a:r>
            <a:r>
              <a:rPr lang="es-ES" sz="900" baseline="0">
                <a:solidFill>
                  <a:schemeClr val="accent1"/>
                </a:solidFill>
              </a:rPr>
              <a:t> vs Ejecutado</a:t>
            </a:r>
            <a:endParaRPr lang="es-ES" sz="900">
              <a:solidFill>
                <a:schemeClr val="accent1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9295512311852459E-3"/>
                  <c:y val="0.43736401603769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1.0496675731685708E-3"/>
                  <c:y val="0.50835094380074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4.9973658307055843E-3"/>
                  <c:y val="0.562399232483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Pensiones'!$B$11:$B$13</c:f>
              <c:numCache>
                <c:formatCode>#,##0</c:formatCode>
                <c:ptCount val="3"/>
                <c:pt idx="0">
                  <c:v>2767788928.5799999</c:v>
                </c:pt>
                <c:pt idx="1">
                  <c:v>2778186304.0899997</c:v>
                </c:pt>
                <c:pt idx="2">
                  <c:v>2791567882.79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2299632757098665E-4"/>
                  <c:y val="0.46596327146910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446264955879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4.8259522270138354E-3"/>
                  <c:y val="0.58208138756297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Pensiones'!$E$11:$E$13</c:f>
              <c:numCache>
                <c:formatCode>#,##0</c:formatCode>
                <c:ptCount val="3"/>
                <c:pt idx="0">
                  <c:v>2769137072.5799999</c:v>
                </c:pt>
                <c:pt idx="1">
                  <c:v>2728637550.8600001</c:v>
                </c:pt>
                <c:pt idx="2">
                  <c:v>2804139255.75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4.0998519057577787E-2"/>
                  <c:y val="-4.617488796726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4.1744797174682338E-2"/>
                  <c:y val="-3.7391650510645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3.4261534787331571E-2"/>
                  <c:y val="-3.543649808201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Pensiones'!$F$11:$F$13</c:f>
              <c:numCache>
                <c:formatCode>0%</c:formatCode>
                <c:ptCount val="3"/>
                <c:pt idx="0">
                  <c:v>0.97572885546667876</c:v>
                </c:pt>
                <c:pt idx="1">
                  <c:v>0.97577903483348249</c:v>
                </c:pt>
                <c:pt idx="2">
                  <c:v>0.99995750362774294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</c:valAx>
      <c:valAx>
        <c:axId val="1665026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</c:valAx>
      <c:catAx>
        <c:axId val="1665032688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% Monto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4,835,209,400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3E-45F1-A77D-4A3BE75DB0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Civiles
79%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F3E-45F1-A77D-4A3BE75DB0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PN
21%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F3E-45F1-A77D-4A3BE75DB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(Nómina!$D$27,Nómina!$J$27)</c:f>
            </c:numRef>
          </c:val>
          <c:extLst>
            <c:ext xmlns:c16="http://schemas.microsoft.com/office/drawing/2014/chart" uri="{C3380CC4-5D6E-409C-BE32-E72D297353CC}">
              <c16:uniqueId val="{00000003-7F3E-45F1-A77D-4A3BE75DB0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Nómina!$B$9:$B$11</c:f>
              <c:numCache>
                <c:formatCode>_(* #,##0_);_(* \(#,##0\);_(* "-"??_);_(@_)</c:formatCode>
                <c:ptCount val="3"/>
                <c:pt idx="0">
                  <c:v>127302</c:v>
                </c:pt>
                <c:pt idx="1">
                  <c:v>125703</c:v>
                </c:pt>
                <c:pt idx="2">
                  <c:v>126163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Nómina!$E$9:$E$11</c:f>
              <c:numCache>
                <c:formatCode>_(* #,##0_);_(* \(#,##0\);_(* "-"??_);_(@_)</c:formatCode>
                <c:ptCount val="3"/>
                <c:pt idx="0">
                  <c:v>19447</c:v>
                </c:pt>
                <c:pt idx="1">
                  <c:v>18872</c:v>
                </c:pt>
                <c:pt idx="2">
                  <c:v>18959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Nómina!$H$9:$H$11</c:f>
              <c:numCache>
                <c:formatCode>_(* #,##0_);_(* \(#,##0\);_(* "-"??_);_(@_)</c:formatCode>
                <c:ptCount val="3"/>
                <c:pt idx="0">
                  <c:v>23598</c:v>
                </c:pt>
                <c:pt idx="1">
                  <c:v>23556</c:v>
                </c:pt>
                <c:pt idx="2">
                  <c:v>23616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Nómina!$C$9:$C$11</c:f>
              <c:numCache>
                <c:formatCode>_(* #,##0_);_(* \(#,##0\);_(* "-"??_);_(@_)</c:formatCode>
                <c:ptCount val="3"/>
                <c:pt idx="0">
                  <c:v>139763</c:v>
                </c:pt>
                <c:pt idx="1">
                  <c:v>138103</c:v>
                </c:pt>
                <c:pt idx="2">
                  <c:v>138623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Nómina!$F$9:$F$11</c:f>
              <c:numCache>
                <c:formatCode>_(* #,##0_);_(* \(#,##0\);_(* "-"??_);_(@_)</c:formatCode>
                <c:ptCount val="3"/>
                <c:pt idx="0">
                  <c:v>19447</c:v>
                </c:pt>
                <c:pt idx="1">
                  <c:v>18872</c:v>
                </c:pt>
                <c:pt idx="2">
                  <c:v>18959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Nómina!$I$9:$I$11</c:f>
              <c:numCache>
                <c:formatCode>_(* #,##0_);_(* \(#,##0\);_(* "-"??_);_(@_)</c:formatCode>
                <c:ptCount val="3"/>
                <c:pt idx="0">
                  <c:v>23673</c:v>
                </c:pt>
                <c:pt idx="1">
                  <c:v>23631</c:v>
                </c:pt>
                <c:pt idx="2">
                  <c:v>23691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Nómina!$D$9:$D$11</c:f>
              <c:numCache>
                <c:formatCode>_(* #,##0_);_(* \(#,##0\);_(* "-"??_);_(@_)</c:formatCode>
                <c:ptCount val="3"/>
                <c:pt idx="0">
                  <c:v>2055688953.1300001</c:v>
                </c:pt>
                <c:pt idx="1">
                  <c:v>2021698758.5899999</c:v>
                </c:pt>
                <c:pt idx="2">
                  <c:v>2028499926.54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Nómina!$G$9:$G$11</c:f>
              <c:numCache>
                <c:formatCode>_(* #,##0_);_(* \(#,##0\);_(* "-"??_);_(@_)</c:formatCode>
                <c:ptCount val="3"/>
                <c:pt idx="0">
                  <c:v>116682000</c:v>
                </c:pt>
                <c:pt idx="1">
                  <c:v>113232000</c:v>
                </c:pt>
                <c:pt idx="2">
                  <c:v>113754000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Nómina!$J$9:$J$11</c:f>
              <c:numCache>
                <c:formatCode>_(* #,##0_);_(* \(#,##0\);_(* "-"??_);_(@_)</c:formatCode>
                <c:ptCount val="3"/>
                <c:pt idx="0">
                  <c:v>596766119.45000005</c:v>
                </c:pt>
                <c:pt idx="1">
                  <c:v>593706792.26999998</c:v>
                </c:pt>
                <c:pt idx="2">
                  <c:v>595670054.84000003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%</a:t>
            </a:r>
            <a:r>
              <a:rPr lang="es-DO" baseline="0"/>
              <a:t> Pagado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658-4F4E-82BB-972C8E917EE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58-4F4E-82BB-972C8E91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8-4F4E-82BB-972C8E917E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Civiles </a:t>
                    </a:r>
                    <a:fld id="{0DE1874E-31FB-46E3-8446-6F5D20BDC9B8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58-4F4E-82BB-972C8E917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Solidarias </a:t>
                    </a:r>
                    <a:fld id="{90257C1E-480E-4FB7-972A-E16E1347AC87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658-4F4E-82BB-972C8E917E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P.N. </a:t>
                    </a:r>
                    <a:fld id="{903306AE-8C9B-491D-BABF-831CD724B3F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8-4F4E-82BB-972C8E917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(Nómina!$D$28,Nómina!$G$28,Nómina!$J$28)</c:f>
              <c:numCache>
                <c:formatCode>0.00%</c:formatCode>
                <c:ptCount val="3"/>
                <c:pt idx="0">
                  <c:v>0.74139279874648245</c:v>
                </c:pt>
                <c:pt idx="1">
                  <c:v>4.1729064708471229E-2</c:v>
                </c:pt>
                <c:pt idx="2">
                  <c:v>0.2168781365450464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8-4F4E-82BB-972C8E917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accent1"/>
                </a:solidFill>
              </a:rPr>
              <a:t>Nóminas Autoseguro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33223733676414069"/>
          <c:y val="1.7305244471177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32881884700847E-2"/>
          <c:y val="0.19432888597258677"/>
          <c:w val="0.93897689989547006"/>
          <c:h val="0.64884186351706041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explosion val="24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D226-4742-8E7F-C6FD6D3E0DFF}"/>
              </c:ext>
            </c:extLst>
          </c:dPt>
          <c:dPt>
            <c:idx val="1"/>
            <c:bubble3D val="0"/>
            <c:explosion val="43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226-4742-8E7F-C6FD6D3E0DFF}"/>
              </c:ext>
            </c:extLst>
          </c:dPt>
          <c:dPt>
            <c:idx val="2"/>
            <c:bubble3D val="0"/>
            <c:explosion val="25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226-4742-8E7F-C6FD6D3E0DFF}"/>
              </c:ext>
            </c:extLst>
          </c:dPt>
          <c:dPt>
            <c:idx val="3"/>
            <c:bubble3D val="0"/>
            <c:explosion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226-4742-8E7F-C6FD6D3E0DFF}"/>
              </c:ext>
            </c:extLst>
          </c:dPt>
          <c:dLbls>
            <c:dLbl>
              <c:idx val="0"/>
              <c:layout>
                <c:manualLayout>
                  <c:x val="6.8765334830695996E-2"/>
                  <c:y val="-6.13939831052556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CF9C51-46E0-4294-B195-1D220E9FC5C4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Discapacidad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947429462203"/>
                      <c:h val="6.32508415413697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226-4742-8E7F-C6FD6D3E0DFF}"/>
                </c:ext>
              </c:extLst>
            </c:dLbl>
            <c:dLbl>
              <c:idx val="1"/>
              <c:layout>
                <c:manualLayout>
                  <c:x val="4.1222659314372308E-2"/>
                  <c:y val="9.621750525817800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B0CDDD-8AED-465F-8CB0-AD4C2AA7E6E9}" type="VALUE">
                      <a:rPr lang="en-US"/>
                      <a:pPr>
                        <a:defRPr b="1"/>
                      </a:pPr>
                      <a:t>[VALOR]</a:t>
                    </a:fld>
                    <a:r>
                      <a:rPr lang="en-US"/>
                      <a:t> Discapacidad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98503430418618"/>
                      <c:h val="5.480049531005783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226-4742-8E7F-C6FD6D3E0DFF}"/>
                </c:ext>
              </c:extLst>
            </c:dLbl>
            <c:dLbl>
              <c:idx val="2"/>
              <c:layout>
                <c:manualLayout>
                  <c:x val="5.2495967179825145E-2"/>
                  <c:y val="-8.81690459458451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31C39E-1E62-4572-8675-95EF26C6BE38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Sobrevivencia</a:t>
                    </a:r>
                    <a:r>
                      <a:rPr lang="en-US" baseline="0"/>
                      <a:t>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92695237817"/>
                      <c:h val="5.902567555211994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26-4742-8E7F-C6FD6D3E0DFF}"/>
                </c:ext>
              </c:extLst>
            </c:dLbl>
            <c:dLbl>
              <c:idx val="3"/>
              <c:layout>
                <c:manualLayout>
                  <c:x val="-3.3523265897112478E-2"/>
                  <c:y val="-9.66386800119945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7D688D-08E1-4C3E-B88A-5A6FCB65F87E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Sobrevivencia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71364109388787"/>
                      <c:h val="6.74760146570257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226-4742-8E7F-C6FD6D3E0D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2540" cap="flat" cmpd="sng" algn="ctr">
                  <a:solidFill>
                    <a:srgbClr val="0070C0">
                      <a:alpha val="99000"/>
                    </a:srgb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(Autoseguro!$C$12,Autoseguro!$H$12,Autoseguro!$M$12,Autoseguro!$O$12)</c:f>
              <c:numCache>
                <c:formatCode>0.0%</c:formatCode>
                <c:ptCount val="4"/>
                <c:pt idx="0" formatCode="0%">
                  <c:v>0.12483574976121672</c:v>
                </c:pt>
                <c:pt idx="1">
                  <c:v>6.0731686823980145E-4</c:v>
                </c:pt>
                <c:pt idx="2" formatCode="0%">
                  <c:v>0.46593629071995146</c:v>
                </c:pt>
                <c:pt idx="3" formatCode="0%">
                  <c:v>0.40862064265059195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6-4742-8E7F-C6FD6D3E0DF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4-4B02-BE0A-FF69FF46AF7C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4-4B02-BE0A-FF69FF46AF7C}"/>
                </c:ext>
              </c:extLst>
            </c:dLbl>
            <c:dLbl>
              <c:idx val="2"/>
              <c:layout>
                <c:manualLayout>
                  <c:x val="0"/>
                  <c:y val="0.238922704380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93752</c:v>
                </c:pt>
                <c:pt idx="1">
                  <c:v>94037</c:v>
                </c:pt>
                <c:pt idx="2">
                  <c:v>93954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4-4B02-BE0A-FF69FF46AF7C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54-4B02-BE0A-FF69FF46AF7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54-4B02-BE0A-FF69FF46AF7C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Cotizantes'!$C$7:$C$9</c:f>
              <c:numCache>
                <c:formatCode>#,##0</c:formatCode>
                <c:ptCount val="3"/>
                <c:pt idx="0">
                  <c:v>30098</c:v>
                </c:pt>
                <c:pt idx="1">
                  <c:v>30580</c:v>
                </c:pt>
                <c:pt idx="2">
                  <c:v>30442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54-4B02-BE0A-FF69FF46AF7C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54-4B02-BE0A-FF69FF46AF7C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0.32103848451233041</c:v>
                </c:pt>
                <c:pt idx="1">
                  <c:v>0.32519114816508393</c:v>
                </c:pt>
                <c:pt idx="2">
                  <c:v>0.32400962172978265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Pensiones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8485851887606E-3"/>
                  <c:y val="0.208286459483824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F-409D-B8DA-00FECF4961CB}"/>
                </c:ext>
              </c:extLst>
            </c:dLbl>
            <c:dLbl>
              <c:idx val="1"/>
              <c:layout>
                <c:manualLayout>
                  <c:x val="-2.4868485851888061E-3"/>
                  <c:y val="0.227813315060433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F-409D-B8DA-00FECF4961CB}"/>
                </c:ext>
              </c:extLst>
            </c:dLbl>
            <c:dLbl>
              <c:idx val="2"/>
              <c:layout>
                <c:manualLayout>
                  <c:x val="0"/>
                  <c:y val="0.23432226691930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Movimientos!$B$9:$B$11</c:f>
              <c:numCache>
                <c:formatCode>#,##0</c:formatCode>
                <c:ptCount val="3"/>
                <c:pt idx="0">
                  <c:v>2698</c:v>
                </c:pt>
                <c:pt idx="1">
                  <c:v>0</c:v>
                </c:pt>
                <c:pt idx="2">
                  <c:v>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8548109438340837E-6"/>
                  <c:y val="0.205203641008343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F-409D-B8DA-00FECF4961CB}"/>
                </c:ext>
              </c:extLst>
            </c:dLbl>
            <c:dLbl>
              <c:idx val="1"/>
              <c:layout>
                <c:manualLayout>
                  <c:x val="4.6290120230386292E-3"/>
                  <c:y val="0.17354873043055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8F-409D-B8DA-00FECF4961CB}"/>
                </c:ext>
              </c:extLst>
            </c:dLbl>
            <c:dLbl>
              <c:idx val="2"/>
              <c:layout>
                <c:manualLayout>
                  <c:x val="4.3802054863898806E-6"/>
                  <c:y val="0.225620401821153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Movimientos!$D$9:$D$11</c:f>
              <c:numCache>
                <c:formatCode>#,##0</c:formatCode>
                <c:ptCount val="3"/>
                <c:pt idx="0">
                  <c:v>73</c:v>
                </c:pt>
                <c:pt idx="1">
                  <c:v>0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8225065204834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F-409D-B8DA-00FECF4961CB}"/>
                </c:ext>
              </c:extLst>
            </c:dLbl>
            <c:dLbl>
              <c:idx val="1"/>
              <c:layout>
                <c:manualLayout>
                  <c:x val="0"/>
                  <c:y val="0.20177750762495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88759603907216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Movimientos!$F$9:$F$11</c:f>
              <c:numCache>
                <c:formatCode>#,##0</c:formatCode>
                <c:ptCount val="3"/>
                <c:pt idx="0">
                  <c:v>320</c:v>
                </c:pt>
                <c:pt idx="1">
                  <c:v>348</c:v>
                </c:pt>
                <c:pt idx="2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244600264367010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8F-409D-B8DA-00FECF4961CB}"/>
                </c:ext>
              </c:extLst>
            </c:dLbl>
            <c:dLbl>
              <c:idx val="1"/>
              <c:layout>
                <c:manualLayout>
                  <c:x val="2.4868485851887606E-3"/>
                  <c:y val="0.17574170018947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75741700189477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Movimientos!$H$9:$H$11</c:f>
              <c:numCache>
                <c:formatCode>#,##0</c:formatCode>
                <c:ptCount val="3"/>
                <c:pt idx="0">
                  <c:v>101</c:v>
                </c:pt>
                <c:pt idx="1">
                  <c:v>319</c:v>
                </c:pt>
                <c:pt idx="2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Monto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909372692307E-3"/>
                  <c:y val="0.302564285770624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F-4828-BAD6-C3A255569C39}"/>
                </c:ext>
              </c:extLst>
            </c:dLbl>
            <c:dLbl>
              <c:idx val="1"/>
              <c:layout>
                <c:manualLayout>
                  <c:x val="-2.4869093726923282E-3"/>
                  <c:y val="0.32209069857753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859965750135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Movimientos!$C$9:$C$11</c:f>
              <c:numCache>
                <c:formatCode>#,##0</c:formatCode>
                <c:ptCount val="3"/>
                <c:pt idx="0">
                  <c:v>43710081.989999995</c:v>
                </c:pt>
                <c:pt idx="1">
                  <c:v>0</c:v>
                </c:pt>
                <c:pt idx="2">
                  <c:v>60166478.650000006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233312007718793E-3"/>
                  <c:y val="0.33483534129465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F-4828-BAD6-C3A255569C39}"/>
                </c:ext>
              </c:extLst>
            </c:dLbl>
            <c:dLbl>
              <c:idx val="1"/>
              <c:layout>
                <c:manualLayout>
                  <c:x val="0"/>
                  <c:y val="0.297288080703852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FF-4828-BAD6-C3A255569C39}"/>
                </c:ext>
              </c:extLst>
            </c:dLbl>
            <c:dLbl>
              <c:idx val="2"/>
              <c:layout>
                <c:manualLayout>
                  <c:x val="2.322342527936185E-3"/>
                  <c:y val="0.28454390195129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Movimientos!$E$9:$E$11</c:f>
              <c:numCache>
                <c:formatCode>#,##0</c:formatCode>
                <c:ptCount val="3"/>
                <c:pt idx="0">
                  <c:v>2486765.7400000002</c:v>
                </c:pt>
                <c:pt idx="1">
                  <c:v>0</c:v>
                </c:pt>
                <c:pt idx="2">
                  <c:v>591958.65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30599020014039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FF-4828-BAD6-C3A255569C39}"/>
                </c:ext>
              </c:extLst>
            </c:dLbl>
            <c:dLbl>
              <c:idx val="1"/>
              <c:layout>
                <c:manualLayout>
                  <c:x val="-2.3145060115193996E-3"/>
                  <c:y val="0.331409426924884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FF-4828-BAD6-C3A255569C39}"/>
                </c:ext>
              </c:extLst>
            </c:dLbl>
            <c:dLbl>
              <c:idx val="2"/>
              <c:layout>
                <c:manualLayout>
                  <c:x val="-8.4864240063431912E-17"/>
                  <c:y val="0.3124991590642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Movimientos!$G$9:$G$11</c:f>
              <c:numCache>
                <c:formatCode>#,##0</c:formatCode>
                <c:ptCount val="3"/>
                <c:pt idx="0">
                  <c:v>3723688.8000000003</c:v>
                </c:pt>
                <c:pt idx="1">
                  <c:v>4635038.3</c:v>
                </c:pt>
                <c:pt idx="2">
                  <c:v>4487107.1899999995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2432120031715956E-17"/>
                  <c:y val="0.31530846452318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FF-4828-BAD6-C3A255569C39}"/>
                </c:ext>
              </c:extLst>
            </c:dLbl>
            <c:dLbl>
              <c:idx val="1"/>
              <c:layout>
                <c:manualLayout>
                  <c:x val="4.8014153842116424E-3"/>
                  <c:y val="0.311265941242599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305064126862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Movimientos!$I$9:$I$11</c:f>
              <c:numCache>
                <c:formatCode>#,##0</c:formatCode>
                <c:ptCount val="3"/>
                <c:pt idx="0">
                  <c:v>1973637.21</c:v>
                </c:pt>
                <c:pt idx="1">
                  <c:v>4651392.22</c:v>
                </c:pt>
                <c:pt idx="2">
                  <c:v>6197472.2399999993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5616"/>
        <c:axId val="1670809952"/>
      </c:barChart>
      <c:catAx>
        <c:axId val="1665025616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Pension'!$B$9:$B$17</c:f>
              <c:numCache>
                <c:formatCode>#,##0</c:formatCode>
                <c:ptCount val="9"/>
                <c:pt idx="0">
                  <c:v>31115</c:v>
                </c:pt>
                <c:pt idx="1">
                  <c:v>59812</c:v>
                </c:pt>
                <c:pt idx="2">
                  <c:v>271</c:v>
                </c:pt>
                <c:pt idx="3">
                  <c:v>158</c:v>
                </c:pt>
                <c:pt idx="4">
                  <c:v>277</c:v>
                </c:pt>
                <c:pt idx="5">
                  <c:v>19491</c:v>
                </c:pt>
                <c:pt idx="6">
                  <c:v>21426</c:v>
                </c:pt>
                <c:pt idx="7">
                  <c:v>9773</c:v>
                </c:pt>
                <c:pt idx="8">
                  <c:v>17714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v>Julio-Septiembre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Pension'!$F$9:$F$17</c:f>
              <c:numCache>
                <c:formatCode>#,##0</c:formatCode>
                <c:ptCount val="9"/>
                <c:pt idx="0">
                  <c:v>31540</c:v>
                </c:pt>
                <c:pt idx="1">
                  <c:v>63816</c:v>
                </c:pt>
                <c:pt idx="2">
                  <c:v>255</c:v>
                </c:pt>
                <c:pt idx="3">
                  <c:v>153</c:v>
                </c:pt>
                <c:pt idx="4">
                  <c:v>249</c:v>
                </c:pt>
                <c:pt idx="5">
                  <c:v>25099</c:v>
                </c:pt>
                <c:pt idx="6">
                  <c:v>23673</c:v>
                </c:pt>
                <c:pt idx="7">
                  <c:v>19447</c:v>
                </c:pt>
                <c:pt idx="8">
                  <c:v>18651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97366905261974"/>
          <c:y val="0.8993319686340091"/>
          <c:w val="0.64265757475713148"/>
          <c:h val="6.829253681119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Pension'!$D$9:$D$17</c:f>
              <c:numCache>
                <c:formatCode>#,##0</c:formatCode>
                <c:ptCount val="9"/>
                <c:pt idx="0">
                  <c:v>1222409043.4400001</c:v>
                </c:pt>
                <c:pt idx="1">
                  <c:v>1560320516.73</c:v>
                </c:pt>
                <c:pt idx="2">
                  <c:v>13780990.5</c:v>
                </c:pt>
                <c:pt idx="3">
                  <c:v>14034454.629999999</c:v>
                </c:pt>
                <c:pt idx="4">
                  <c:v>23057423.100000001</c:v>
                </c:pt>
                <c:pt idx="5">
                  <c:v>1486475380.6199999</c:v>
                </c:pt>
                <c:pt idx="6">
                  <c:v>1385871549.24</c:v>
                </c:pt>
                <c:pt idx="7">
                  <c:v>175836000</c:v>
                </c:pt>
                <c:pt idx="8">
                  <c:v>550020773.17000008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v>Julio-Septiembre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Pension'!$H$9:$H$17</c:f>
              <c:numCache>
                <c:formatCode>#,##0</c:formatCode>
                <c:ptCount val="9"/>
                <c:pt idx="0">
                  <c:v>1438741068.9300001</c:v>
                </c:pt>
                <c:pt idx="1">
                  <c:v>1966938030.1700001</c:v>
                </c:pt>
                <c:pt idx="2">
                  <c:v>12970378.5</c:v>
                </c:pt>
                <c:pt idx="3">
                  <c:v>13596751.940000001</c:v>
                </c:pt>
                <c:pt idx="4">
                  <c:v>22631800.439999998</c:v>
                </c:pt>
                <c:pt idx="5">
                  <c:v>1966768225.4200001</c:v>
                </c:pt>
                <c:pt idx="6">
                  <c:v>1786142966.5600002</c:v>
                </c:pt>
                <c:pt idx="7">
                  <c:v>343668000</c:v>
                </c:pt>
                <c:pt idx="8">
                  <c:v>684241382.86000001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Pension'!$B$32:$B$44</c:f>
              <c:numCache>
                <c:formatCode>#,##0</c:formatCode>
                <c:ptCount val="13"/>
                <c:pt idx="0">
                  <c:v>42</c:v>
                </c:pt>
                <c:pt idx="1">
                  <c:v>1</c:v>
                </c:pt>
                <c:pt idx="2">
                  <c:v>100541</c:v>
                </c:pt>
                <c:pt idx="3">
                  <c:v>22135</c:v>
                </c:pt>
                <c:pt idx="4">
                  <c:v>6458</c:v>
                </c:pt>
                <c:pt idx="5">
                  <c:v>3494</c:v>
                </c:pt>
                <c:pt idx="6">
                  <c:v>1927</c:v>
                </c:pt>
                <c:pt idx="7">
                  <c:v>2054</c:v>
                </c:pt>
                <c:pt idx="8">
                  <c:v>658</c:v>
                </c:pt>
                <c:pt idx="9">
                  <c:v>342</c:v>
                </c:pt>
                <c:pt idx="10">
                  <c:v>338</c:v>
                </c:pt>
                <c:pt idx="11">
                  <c:v>313</c:v>
                </c:pt>
                <c:pt idx="1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v>Julio-Septiembre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Pension'!$F$32:$F$44</c:f>
              <c:numCache>
                <c:formatCode>#,##0</c:formatCode>
                <c:ptCount val="13"/>
                <c:pt idx="0">
                  <c:v>38</c:v>
                </c:pt>
                <c:pt idx="1">
                  <c:v>1</c:v>
                </c:pt>
                <c:pt idx="2">
                  <c:v>19467</c:v>
                </c:pt>
                <c:pt idx="3">
                  <c:v>118883</c:v>
                </c:pt>
                <c:pt idx="4">
                  <c:v>8553</c:v>
                </c:pt>
                <c:pt idx="5">
                  <c:v>4653</c:v>
                </c:pt>
                <c:pt idx="6">
                  <c:v>2126</c:v>
                </c:pt>
                <c:pt idx="7">
                  <c:v>2821</c:v>
                </c:pt>
                <c:pt idx="8">
                  <c:v>912</c:v>
                </c:pt>
                <c:pt idx="9">
                  <c:v>462</c:v>
                </c:pt>
                <c:pt idx="10">
                  <c:v>501</c:v>
                </c:pt>
                <c:pt idx="11">
                  <c:v>354</c:v>
                </c:pt>
                <c:pt idx="1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Pension'!$D$32:$D$44</c:f>
              <c:numCache>
                <c:formatCode>#,##0.00</c:formatCode>
                <c:ptCount val="13"/>
                <c:pt idx="0">
                  <c:v>518449.58999999997</c:v>
                </c:pt>
                <c:pt idx="1">
                  <c:v>15352.5</c:v>
                </c:pt>
                <c:pt idx="2">
                  <c:v>2368218740.3500004</c:v>
                </c:pt>
                <c:pt idx="3">
                  <c:v>792980471.26999998</c:v>
                </c:pt>
                <c:pt idx="4">
                  <c:v>476030574.31000006</c:v>
                </c:pt>
                <c:pt idx="5">
                  <c:v>350981643.21000004</c:v>
                </c:pt>
                <c:pt idx="6">
                  <c:v>247671532.23000002</c:v>
                </c:pt>
                <c:pt idx="7">
                  <c:v>319678702.56</c:v>
                </c:pt>
                <c:pt idx="8">
                  <c:v>124092472.21000001</c:v>
                </c:pt>
                <c:pt idx="9">
                  <c:v>72787888.969999999</c:v>
                </c:pt>
                <c:pt idx="10">
                  <c:v>83354851.930000007</c:v>
                </c:pt>
                <c:pt idx="11">
                  <c:v>90077595.140000001</c:v>
                </c:pt>
                <c:pt idx="12">
                  <c:v>119526307.91999999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v>Julio-Septiembre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Pension'!$H$32:$H$44</c:f>
              <c:numCache>
                <c:formatCode>#,##0</c:formatCode>
                <c:ptCount val="13"/>
                <c:pt idx="0">
                  <c:v>544379.04</c:v>
                </c:pt>
                <c:pt idx="1">
                  <c:v>15352.5</c:v>
                </c:pt>
                <c:pt idx="2">
                  <c:v>344129997.75</c:v>
                </c:pt>
                <c:pt idx="3">
                  <c:v>3686150611.2000003</c:v>
                </c:pt>
                <c:pt idx="4">
                  <c:v>595173463.59000003</c:v>
                </c:pt>
                <c:pt idx="5">
                  <c:v>459487651.31000006</c:v>
                </c:pt>
                <c:pt idx="6">
                  <c:v>270463521.93000001</c:v>
                </c:pt>
                <c:pt idx="7">
                  <c:v>429165665.95000005</c:v>
                </c:pt>
                <c:pt idx="8">
                  <c:v>173412191.73000002</c:v>
                </c:pt>
                <c:pt idx="9">
                  <c:v>97557008.310000002</c:v>
                </c:pt>
                <c:pt idx="10">
                  <c:v>119899270.41000001</c:v>
                </c:pt>
                <c:pt idx="11">
                  <c:v>97722541.780000001</c:v>
                </c:pt>
                <c:pt idx="12">
                  <c:v>175833982.76000002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5485564304461"/>
          <c:y val="0.89405975544116423"/>
          <c:w val="0.61224562554680662"/>
          <c:h val="7.8152782903344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Pension'!$A$54:$A$65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Pension'!$B$56:$B$65</c:f>
              <c:numCache>
                <c:formatCode>#,##0</c:formatCode>
                <c:ptCount val="10"/>
                <c:pt idx="0">
                  <c:v>9</c:v>
                </c:pt>
                <c:pt idx="1">
                  <c:v>67</c:v>
                </c:pt>
                <c:pt idx="2">
                  <c:v>525</c:v>
                </c:pt>
                <c:pt idx="3">
                  <c:v>2667</c:v>
                </c:pt>
                <c:pt idx="4">
                  <c:v>33339</c:v>
                </c:pt>
                <c:pt idx="5">
                  <c:v>47284</c:v>
                </c:pt>
                <c:pt idx="6">
                  <c:v>25998</c:v>
                </c:pt>
                <c:pt idx="7">
                  <c:v>6063</c:v>
                </c:pt>
                <c:pt idx="8">
                  <c:v>402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v>Julio-Septiembre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Pension'!$A$54:$A$65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Pension'!$F$56:$F$65</c:f>
              <c:numCache>
                <c:formatCode>#,##0</c:formatCode>
                <c:ptCount val="10"/>
                <c:pt idx="0">
                  <c:v>8</c:v>
                </c:pt>
                <c:pt idx="1">
                  <c:v>78</c:v>
                </c:pt>
                <c:pt idx="2">
                  <c:v>570</c:v>
                </c:pt>
                <c:pt idx="3">
                  <c:v>3110</c:v>
                </c:pt>
                <c:pt idx="4">
                  <c:v>42566</c:v>
                </c:pt>
                <c:pt idx="5">
                  <c:v>50488</c:v>
                </c:pt>
                <c:pt idx="6">
                  <c:v>25044</c:v>
                </c:pt>
                <c:pt idx="7">
                  <c:v>5118</c:v>
                </c:pt>
                <c:pt idx="8">
                  <c:v>280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Pension'!$A$56:$A$65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Pension'!$D$54:$D$65</c:f>
              <c:numCache>
                <c:formatCode>#,##0.00</c:formatCode>
                <c:ptCount val="11"/>
                <c:pt idx="0">
                  <c:v>0</c:v>
                </c:pt>
                <c:pt idx="1">
                  <c:v>315922.05000000005</c:v>
                </c:pt>
                <c:pt idx="2">
                  <c:v>3325389.4000000004</c:v>
                </c:pt>
                <c:pt idx="3">
                  <c:v>21904187.370000001</c:v>
                </c:pt>
                <c:pt idx="4">
                  <c:v>124725720.08</c:v>
                </c:pt>
                <c:pt idx="5">
                  <c:v>1544509419.77</c:v>
                </c:pt>
                <c:pt idx="6">
                  <c:v>2007853225.8400002</c:v>
                </c:pt>
                <c:pt idx="7">
                  <c:v>943022472.56000006</c:v>
                </c:pt>
                <c:pt idx="8">
                  <c:v>210285458.66000003</c:v>
                </c:pt>
                <c:pt idx="9">
                  <c:v>13047052.699999999</c:v>
                </c:pt>
                <c:pt idx="10">
                  <c:v>1109733.76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v>Julio-Septiembre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Pension'!$A$56:$A$65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Pension'!$H$56:$H$65</c:f>
              <c:numCache>
                <c:formatCode>#,##0</c:formatCode>
                <c:ptCount val="10"/>
                <c:pt idx="0">
                  <c:v>282922.05000000005</c:v>
                </c:pt>
                <c:pt idx="1">
                  <c:v>4200764.74</c:v>
                </c:pt>
                <c:pt idx="2">
                  <c:v>28421745.25</c:v>
                </c:pt>
                <c:pt idx="3">
                  <c:v>169388469</c:v>
                </c:pt>
                <c:pt idx="4">
                  <c:v>2148405590.1599998</c:v>
                </c:pt>
                <c:pt idx="5">
                  <c:v>2452393963.54</c:v>
                </c:pt>
                <c:pt idx="6">
                  <c:v>1079520524.3099999</c:v>
                </c:pt>
                <c:pt idx="7">
                  <c:v>211317872.5</c:v>
                </c:pt>
                <c:pt idx="8">
                  <c:v>10745280.040000001</c:v>
                </c:pt>
                <c:pt idx="9">
                  <c:v>1180506.67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019212290391287"/>
          <c:y val="2.881356444248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(Modalidad!$O$28,Modalidad!$Q$28)</c:f>
              <c:numCache>
                <c:formatCode>0.00%</c:formatCode>
                <c:ptCount val="2"/>
                <c:pt idx="0">
                  <c:v>0.99952036990672677</c:v>
                </c:pt>
                <c:pt idx="1">
                  <c:v>4.7963009327322669E-4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597950039618"/>
          <c:y val="4.2299470680314477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08590949635672E-3"/>
                  <c:y val="0.23353996402043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88-4D3B-A92B-728D1A25D15E}"/>
                </c:ext>
              </c:extLst>
            </c:dLbl>
            <c:dLbl>
              <c:idx val="1"/>
              <c:layout>
                <c:manualLayout>
                  <c:x val="2.788471476716947E-3"/>
                  <c:y val="0.211762489195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6459726581629E-2"/>
                      <c:h val="0.13091299902321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888-4D3B-A92B-728D1A25D15E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Retroactivos!$K$9:$K$11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8-4F3E-9D80-50FAAA1EC586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78925883884176E-4"/>
                  <c:y val="0.30398691524423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8-4D3B-A92B-728D1A25D15E}"/>
                </c:ext>
              </c:extLst>
            </c:dLbl>
            <c:dLbl>
              <c:idx val="1"/>
              <c:layout>
                <c:manualLayout>
                  <c:x val="5.3296010327023059E-3"/>
                  <c:y val="0.417626033885441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8-4D3B-A92B-728D1A25D15E}"/>
                </c:ext>
              </c:extLst>
            </c:dLbl>
            <c:dLbl>
              <c:idx val="2"/>
              <c:layout>
                <c:manualLayout>
                  <c:x val="5.3043320703023114E-4"/>
                  <c:y val="0.28331799048509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Retroactivos!$L$9:$L$11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B88-4F3E-9D80-50FAAA1EC586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88-4F3E-9D80-50FAAA1EC586}"/>
                </c:ext>
              </c:extLst>
            </c:dLbl>
            <c:dLbl>
              <c:idx val="1"/>
              <c:layout>
                <c:manualLayout>
                  <c:x val="-7.3136265981191967E-2"/>
                  <c:y val="-0.12839372676612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8-4D3B-A92B-728D1A25D15E}"/>
                </c:ext>
              </c:extLst>
            </c:dLbl>
            <c:dLbl>
              <c:idx val="2"/>
              <c:layout>
                <c:manualLayout>
                  <c:x val="-9.4132182203010256E-2"/>
                  <c:y val="-4.82794635390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88-4D3B-A92B-728D1A25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Retroactivos!$M$9:$M$11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66215274.370000005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61211035074938"/>
          <c:y val="3.4863870221580044E-2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5C-4406-B71E-65516B4B4A9D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93752</c:v>
                </c:pt>
                <c:pt idx="1">
                  <c:v>94037</c:v>
                </c:pt>
                <c:pt idx="2">
                  <c:v>93954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C-4406-B71E-65516B4B4A9D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5C-4406-B71E-65516B4B4A9D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Cotizantes'!$E$7:$E$9</c:f>
              <c:numCache>
                <c:formatCode>#,##0</c:formatCode>
                <c:ptCount val="3"/>
                <c:pt idx="0">
                  <c:v>63654</c:v>
                </c:pt>
                <c:pt idx="1">
                  <c:v>63457</c:v>
                </c:pt>
                <c:pt idx="2">
                  <c:v>63512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450106681931728E-3"/>
                  <c:y val="-0.12161646370644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5C-4406-B71E-65516B4B4A9D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5C-4406-B71E-65516B4B4A9D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0.67896151548766959</c:v>
                </c:pt>
                <c:pt idx="1">
                  <c:v>0.67480885183491601</c:v>
                </c:pt>
                <c:pt idx="2">
                  <c:v>0.67599037827021735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258870374947961"/>
          <c:y val="0.85712440398047529"/>
          <c:w val="0.72580263517381349"/>
          <c:h val="0.1030026691089768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>
                <a:solidFill>
                  <a:schemeClr val="tx2">
                    <a:lumMod val="60000"/>
                    <a:lumOff val="40000"/>
                  </a:schemeClr>
                </a:solidFill>
              </a:rPr>
              <a:t>Recuperación</a:t>
            </a: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Fondos</a:t>
            </a:r>
          </a:p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Monto solicitado / Total Recuperado</a:t>
            </a:r>
            <a:endParaRPr lang="es-ES" sz="8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32894941816863671"/>
          <c:y val="2.2574339789436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751014501871688E-2"/>
                  <c:y val="1.7515273744536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53-4937-ACFC-AC9F032F728F}"/>
                </c:ext>
              </c:extLst>
            </c:dLbl>
            <c:dLbl>
              <c:idx val="1"/>
              <c:layout>
                <c:manualLayout>
                  <c:x val="-3.1735390268839148E-2"/>
                  <c:y val="-2.2792921735736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3-4937-ACFC-AC9F032F728F}"/>
                </c:ext>
              </c:extLst>
            </c:dLbl>
            <c:dLbl>
              <c:idx val="2"/>
              <c:layout>
                <c:manualLayout>
                  <c:x val="-4.1711647931624477E-4"/>
                  <c:y val="1.0088951449305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05018275115812"/>
                      <c:h val="4.20816058575475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'Recuperación Fondos'!$C$7:$C$9</c:f>
              <c:numCache>
                <c:formatCode>#,##0</c:formatCode>
                <c:ptCount val="3"/>
                <c:pt idx="0">
                  <c:v>4659537.5699999994</c:v>
                </c:pt>
                <c:pt idx="1">
                  <c:v>4942768.88</c:v>
                </c:pt>
                <c:pt idx="2">
                  <c:v>9574262.7499999981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3-4937-ACFC-AC9F032F728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354024410601823E-2"/>
                  <c:y val="1.2011107102512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07200811714922"/>
                      <c:h val="4.5837202287660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953-4937-ACFC-AC9F032F728F}"/>
                </c:ext>
              </c:extLst>
            </c:dLbl>
            <c:dLbl>
              <c:idx val="1"/>
              <c:layout>
                <c:manualLayout>
                  <c:x val="4.004152379754003E-3"/>
                  <c:y val="1.8518638995511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53-4937-ACFC-AC9F032F728F}"/>
                </c:ext>
              </c:extLst>
            </c:dLbl>
            <c:dLbl>
              <c:idx val="2"/>
              <c:layout>
                <c:manualLayout>
                  <c:x val="4.7659253200792728E-3"/>
                  <c:y val="2.7163312258621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'Recuperación Fondos'!$F$7:$F$9</c:f>
              <c:numCache>
                <c:formatCode>_(* #,##0_);_(* \(#,##0\);_(* "-"??_);_(@_)</c:formatCode>
                <c:ptCount val="3"/>
                <c:pt idx="0">
                  <c:v>4297951.71</c:v>
                </c:pt>
                <c:pt idx="1">
                  <c:v>3439611.39</c:v>
                </c:pt>
                <c:pt idx="2">
                  <c:v>2299926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0280994766719553"/>
                  <c:y val="-1.6511021344799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94494495773472E-2"/>
                      <c:h val="6.69247283846203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953-4937-ACFC-AC9F032F728F}"/>
                </c:ext>
              </c:extLst>
            </c:dLbl>
            <c:dLbl>
              <c:idx val="1"/>
              <c:layout>
                <c:manualLayout>
                  <c:x val="-1.6031520125687478E-2"/>
                  <c:y val="-2.08194593124006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216124612678336E-2"/>
                      <c:h val="5.5657939094280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953-4937-ACFC-AC9F032F728F}"/>
                </c:ext>
              </c:extLst>
            </c:dLbl>
            <c:dLbl>
              <c:idx val="2"/>
              <c:layout>
                <c:manualLayout>
                  <c:x val="-1.9030230582906038E-2"/>
                  <c:y val="-4.2445041134131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0.92239876713774427</c:v>
                </c:pt>
                <c:pt idx="1">
                  <c:v>0.69588756292404275</c:v>
                </c:pt>
                <c:pt idx="2">
                  <c:v>0.24021964511053348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72048720"/>
        <c:crosses val="autoZero"/>
        <c:crossBetween val="between"/>
      </c:valAx>
      <c:catAx>
        <c:axId val="1672048720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Servicios!$L$11:$L$22</c:f>
              <c:numCache>
                <c:formatCode>#,##0</c:formatCode>
                <c:ptCount val="12"/>
                <c:pt idx="0">
                  <c:v>5212</c:v>
                </c:pt>
                <c:pt idx="1">
                  <c:v>25</c:v>
                </c:pt>
                <c:pt idx="2">
                  <c:v>310</c:v>
                </c:pt>
                <c:pt idx="3">
                  <c:v>16</c:v>
                </c:pt>
                <c:pt idx="4">
                  <c:v>738</c:v>
                </c:pt>
                <c:pt idx="5">
                  <c:v>480</c:v>
                </c:pt>
                <c:pt idx="6">
                  <c:v>4</c:v>
                </c:pt>
                <c:pt idx="7">
                  <c:v>189</c:v>
                </c:pt>
                <c:pt idx="8">
                  <c:v>42</c:v>
                </c:pt>
                <c:pt idx="9">
                  <c:v>725</c:v>
                </c:pt>
                <c:pt idx="10">
                  <c:v>3324</c:v>
                </c:pt>
                <c:pt idx="1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Servicios!$M$11:$M$22</c:f>
              <c:numCache>
                <c:formatCode>#,##0</c:formatCode>
                <c:ptCount val="12"/>
                <c:pt idx="0">
                  <c:v>4841</c:v>
                </c:pt>
                <c:pt idx="1">
                  <c:v>3</c:v>
                </c:pt>
                <c:pt idx="2">
                  <c:v>148</c:v>
                </c:pt>
                <c:pt idx="3">
                  <c:v>10</c:v>
                </c:pt>
                <c:pt idx="4">
                  <c:v>145</c:v>
                </c:pt>
                <c:pt idx="5">
                  <c:v>348</c:v>
                </c:pt>
                <c:pt idx="6">
                  <c:v>3</c:v>
                </c:pt>
                <c:pt idx="7">
                  <c:v>67</c:v>
                </c:pt>
                <c:pt idx="8">
                  <c:v>29</c:v>
                </c:pt>
                <c:pt idx="9">
                  <c:v>640</c:v>
                </c:pt>
                <c:pt idx="10">
                  <c:v>1601</c:v>
                </c:pt>
                <c:pt idx="1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Servicios!$N$11:$N$22</c:f>
              <c:numCache>
                <c:formatCode>0%</c:formatCode>
                <c:ptCount val="12"/>
                <c:pt idx="0">
                  <c:v>0.92881811204911746</c:v>
                </c:pt>
                <c:pt idx="1">
                  <c:v>0.12</c:v>
                </c:pt>
                <c:pt idx="2">
                  <c:v>0.47741935483870968</c:v>
                </c:pt>
                <c:pt idx="3">
                  <c:v>0.625</c:v>
                </c:pt>
                <c:pt idx="4">
                  <c:v>0.19647696476964768</c:v>
                </c:pt>
                <c:pt idx="5">
                  <c:v>0.72499999999999998</c:v>
                </c:pt>
                <c:pt idx="6">
                  <c:v>0.75</c:v>
                </c:pt>
                <c:pt idx="7">
                  <c:v>0.35449735449735448</c:v>
                </c:pt>
                <c:pt idx="8">
                  <c:v>0.69047619047619047</c:v>
                </c:pt>
                <c:pt idx="9">
                  <c:v>0.88275862068965516</c:v>
                </c:pt>
                <c:pt idx="10">
                  <c:v>0.48164861612515042</c:v>
                </c:pt>
                <c:pt idx="11">
                  <c:v>0.58959537572254339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Estándar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72042192"/>
        <c:crosses val="max"/>
        <c:crossBetween val="between"/>
      </c:valAx>
      <c:catAx>
        <c:axId val="1672042192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Servicios!$L$31:$L$42</c:f>
              <c:numCache>
                <c:formatCode>#,##0</c:formatCode>
                <c:ptCount val="12"/>
                <c:pt idx="0" formatCode="Estándar">
                  <c:v>0</c:v>
                </c:pt>
                <c:pt idx="1">
                  <c:v>24</c:v>
                </c:pt>
                <c:pt idx="2">
                  <c:v>118</c:v>
                </c:pt>
                <c:pt idx="3">
                  <c:v>351</c:v>
                </c:pt>
                <c:pt idx="4">
                  <c:v>11</c:v>
                </c:pt>
                <c:pt idx="5">
                  <c:v>0</c:v>
                </c:pt>
                <c:pt idx="6">
                  <c:v>392</c:v>
                </c:pt>
                <c:pt idx="7">
                  <c:v>246</c:v>
                </c:pt>
                <c:pt idx="8">
                  <c:v>8</c:v>
                </c:pt>
                <c:pt idx="9">
                  <c:v>334</c:v>
                </c:pt>
                <c:pt idx="10">
                  <c:v>7094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Servicios!$M$31:$M$42</c:f>
              <c:numCache>
                <c:formatCode>#,##0</c:formatCode>
                <c:ptCount val="12"/>
                <c:pt idx="0" formatCode="Estándar">
                  <c:v>0</c:v>
                </c:pt>
                <c:pt idx="1">
                  <c:v>16</c:v>
                </c:pt>
                <c:pt idx="2">
                  <c:v>36</c:v>
                </c:pt>
                <c:pt idx="3">
                  <c:v>173</c:v>
                </c:pt>
                <c:pt idx="4">
                  <c:v>3</c:v>
                </c:pt>
                <c:pt idx="5">
                  <c:v>0</c:v>
                </c:pt>
                <c:pt idx="6">
                  <c:v>194</c:v>
                </c:pt>
                <c:pt idx="7">
                  <c:v>188</c:v>
                </c:pt>
                <c:pt idx="8">
                  <c:v>4</c:v>
                </c:pt>
                <c:pt idx="9">
                  <c:v>280</c:v>
                </c:pt>
                <c:pt idx="10">
                  <c:v>4534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Servicios!$N$31:$N$42</c:f>
              <c:numCache>
                <c:formatCode>0%</c:formatCode>
                <c:ptCount val="12"/>
                <c:pt idx="0" formatCode="Estándar">
                  <c:v>0</c:v>
                </c:pt>
                <c:pt idx="1">
                  <c:v>0.66666666666666663</c:v>
                </c:pt>
                <c:pt idx="2">
                  <c:v>0.30508474576271188</c:v>
                </c:pt>
                <c:pt idx="3">
                  <c:v>0.49287749287749288</c:v>
                </c:pt>
                <c:pt idx="4">
                  <c:v>0.27272727272727271</c:v>
                </c:pt>
                <c:pt idx="5">
                  <c:v>0</c:v>
                </c:pt>
                <c:pt idx="6">
                  <c:v>0.49489795918367346</c:v>
                </c:pt>
                <c:pt idx="7">
                  <c:v>0.76422764227642281</c:v>
                </c:pt>
                <c:pt idx="8">
                  <c:v>0.5</c:v>
                </c:pt>
                <c:pt idx="9">
                  <c:v>0.83832335329341312</c:v>
                </c:pt>
                <c:pt idx="10">
                  <c:v>0.63913166055821824</c:v>
                </c:pt>
                <c:pt idx="11">
                  <c:v>0.65306122448979587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Estándar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Estándar" sourceLinked="1"/>
        <c:majorTickMark val="out"/>
        <c:minorTickMark val="none"/>
        <c:tickLblPos val="nextTo"/>
        <c:crossAx val="1672043824"/>
        <c:crosses val="autoZero"/>
        <c:crossBetween val="between"/>
      </c:valAx>
      <c:valAx>
        <c:axId val="1672046544"/>
        <c:scaling>
          <c:orientation val="minMax"/>
        </c:scaling>
        <c:delete val="0"/>
        <c:axPos val="r"/>
        <c:numFmt formatCode="Estándar" sourceLinked="1"/>
        <c:majorTickMark val="out"/>
        <c:minorTickMark val="none"/>
        <c:tickLblPos val="nextTo"/>
        <c:crossAx val="1672377216"/>
        <c:crosses val="max"/>
        <c:crossBetween val="between"/>
      </c:valAx>
      <c:catAx>
        <c:axId val="1672377216"/>
        <c:scaling>
          <c:orientation val="minMax"/>
        </c:scaling>
        <c:delete val="1"/>
        <c:axPos val="b"/>
        <c:numFmt formatCode="Estándar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 de Cotizantes</a:t>
            </a:r>
            <a:r>
              <a:rPr lang="es-ES" sz="1100" baseline="0">
                <a:solidFill>
                  <a:schemeClr val="accent1"/>
                </a:solidFill>
              </a:rPr>
              <a:t> y No Cotizantes</a:t>
            </a:r>
            <a:endParaRPr lang="es-ES" sz="11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EA7-43FD-B304-646A53AEE0F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EA7-43FD-B304-646A53AEE0FB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7-43FD-B304-646A53AEE0FB}"/>
                </c:ext>
              </c:extLst>
            </c:dLbl>
            <c:dLbl>
              <c:idx val="1"/>
              <c:layout>
                <c:manualLayout>
                  <c:x val="0.21927088801399824"/>
                  <c:y val="-0.226812117235345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95822397200349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EA7-43FD-B304-646A53AEE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('Afiliados y Cotizantes'!$D$6,'Afiliados y Cotizantes'!$F$6)</c:f>
              <c:strCache>
                <c:ptCount val="2"/>
                <c:pt idx="0">
                  <c:v>% Cotizantes</c:v>
                </c:pt>
                <c:pt idx="1">
                  <c:v>% No Cotizantes</c:v>
                </c:pt>
              </c:strCache>
            </c:strRef>
          </c:cat>
          <c:val>
            <c:numRef>
              <c:f>('Afiliados y Cotizantes'!$D$10,'Afiliados y Cotizantes'!$F$10)</c:f>
              <c:numCache>
                <c:formatCode>0%</c:formatCode>
                <c:ptCount val="2"/>
                <c:pt idx="0">
                  <c:v>0.32341531111686894</c:v>
                </c:pt>
                <c:pt idx="1">
                  <c:v>0.67658468888313117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A7-43FD-B304-646A53AEE0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Policia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Cotizantes'!$G$6</c:f>
              <c:strCache>
                <c:ptCount val="1"/>
                <c:pt idx="0">
                  <c:v>Afiliados Policia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Cotizantes'!$G$7:$G$9</c:f>
              <c:numCache>
                <c:formatCode>#,##0</c:formatCode>
                <c:ptCount val="3"/>
                <c:pt idx="0">
                  <c:v>63654.678961515485</c:v>
                </c:pt>
                <c:pt idx="1">
                  <c:v>53296</c:v>
                </c:pt>
                <c:pt idx="2">
                  <c:v>53238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C-4C5D-AA0A-07EE66F30F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100">
                <a:solidFill>
                  <a:schemeClr val="accent1"/>
                </a:solidFill>
              </a:rPr>
              <a:t>Cantidad</a:t>
            </a:r>
            <a:r>
              <a:rPr lang="es-ES" sz="1100" baseline="0">
                <a:solidFill>
                  <a:schemeClr val="accent1"/>
                </a:solidFill>
              </a:rPr>
              <a:t> de cotizantes por tipo 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s-ES" sz="1100" baseline="0">
                <a:solidFill>
                  <a:schemeClr val="accent1"/>
                </a:solidFill>
              </a:rPr>
              <a:t>de empleador</a:t>
            </a:r>
            <a:endParaRPr lang="es-ES" sz="11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1397542344881213"/>
          <c:y val="1.0885773870129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Cotizantes!$B$8:$B$10</c:f>
              <c:numCache>
                <c:formatCode>#,##0</c:formatCode>
                <c:ptCount val="3"/>
                <c:pt idx="0">
                  <c:v>24379</c:v>
                </c:pt>
                <c:pt idx="1">
                  <c:v>24770</c:v>
                </c:pt>
                <c:pt idx="2">
                  <c:v>24658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Septiembre 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5719</c:v>
                </c:pt>
                <c:pt idx="1">
                  <c:v>5810</c:v>
                </c:pt>
                <c:pt idx="2">
                  <c:v>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</a:t>
            </a:r>
            <a:r>
              <a:rPr lang="es-ES" sz="1100" baseline="0">
                <a:solidFill>
                  <a:schemeClr val="accent1"/>
                </a:solidFill>
              </a:rPr>
              <a:t> Cotizantes por Tipo de Empleador</a:t>
            </a:r>
            <a:endParaRPr lang="es-ES" sz="11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explosion val="21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E83FA5F-D0AB-48CE-96D6-99FDB27CB4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layout>
                <c:manualLayout>
                  <c:x val="0.11996024068101704"/>
                  <c:y val="0.10516164946534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0.80999775260389806</c:v>
                </c:pt>
                <c:pt idx="1">
                  <c:v>0.19000224739610197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91854996.719999999</c:v>
                </c:pt>
                <c:pt idx="1">
                  <c:v>94389117</c:v>
                </c:pt>
                <c:pt idx="2">
                  <c:v>93283838.829999998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4-4074-BEFF-2DE0A00E38F1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38-4061-9CFB-E05ABCE275A3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38-4061-9CFB-E05ABCE275A3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B-423A-9D8D-AF7B1DB20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13725459.279999999</c:v>
                </c:pt>
                <c:pt idx="1">
                  <c:v>14104121</c:v>
                </c:pt>
                <c:pt idx="2">
                  <c:v>13938964.42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4-4074-BEFF-2DE0A00E3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Estándar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/>
                </a:solidFill>
              </a:rPr>
              <a:t>Porcentaje Monto Total</a:t>
            </a:r>
            <a:r>
              <a:rPr lang="en-US" sz="900" b="1" baseline="0">
                <a:solidFill>
                  <a:schemeClr val="accent1"/>
                </a:solidFill>
              </a:rPr>
              <a:t> Individualizado por Tipo de Empleador</a:t>
            </a:r>
            <a:endParaRPr lang="en-US" sz="900" b="1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1E0124BD-4345-4E4A-B14D-12CA58C698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7.4119001557259923E-2"/>
                  <c:y val="9.942868556068289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808AA45-761B-4E95-9508-60574774486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Empleador!$B$25:$C$25</c:f>
              <c:numCache>
                <c:formatCode>0%</c:formatCode>
                <c:ptCount val="2"/>
                <c:pt idx="0">
                  <c:v>0.8699999998210376</c:v>
                </c:pt>
                <c:pt idx="1">
                  <c:v>0.13000000017896243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18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1.png"/><Relationship Id="rId1" Type="http://schemas.openxmlformats.org/officeDocument/2006/relationships/chart" Target="../charts/chart20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9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644770</xdr:colOff>
      <xdr:row>29</xdr:row>
      <xdr:rowOff>80596</xdr:rowOff>
    </xdr:from>
    <xdr:to>
      <xdr:col>5</xdr:col>
      <xdr:colOff>223472</xdr:colOff>
      <xdr:row>45</xdr:row>
      <xdr:rowOff>139212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3</xdr:col>
      <xdr:colOff>581756</xdr:colOff>
      <xdr:row>1</xdr:row>
      <xdr:rowOff>22900</xdr:rowOff>
    </xdr:from>
    <xdr:to>
      <xdr:col>6</xdr:col>
      <xdr:colOff>414076</xdr:colOff>
      <xdr:row>4</xdr:row>
      <xdr:rowOff>9338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352" y="213400"/>
          <a:ext cx="2246436" cy="5579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12</xdr:row>
      <xdr:rowOff>0</xdr:rowOff>
    </xdr:from>
    <xdr:to>
      <xdr:col>26</xdr:col>
      <xdr:colOff>666261</xdr:colOff>
      <xdr:row>39</xdr:row>
      <xdr:rowOff>144097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143531</xdr:colOff>
      <xdr:row>30</xdr:row>
      <xdr:rowOff>99393</xdr:rowOff>
    </xdr:from>
    <xdr:to>
      <xdr:col>6</xdr:col>
      <xdr:colOff>8282</xdr:colOff>
      <xdr:row>42</xdr:row>
      <xdr:rowOff>124239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44</xdr:row>
      <xdr:rowOff>137386</xdr:rowOff>
    </xdr:from>
    <xdr:to>
      <xdr:col>6</xdr:col>
      <xdr:colOff>482622</xdr:colOff>
      <xdr:row>56</xdr:row>
      <xdr:rowOff>60187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455544</xdr:colOff>
      <xdr:row>31</xdr:row>
      <xdr:rowOff>37272</xdr:rowOff>
    </xdr:from>
    <xdr:to>
      <xdr:col>12</xdr:col>
      <xdr:colOff>463827</xdr:colOff>
      <xdr:row>43</xdr:row>
      <xdr:rowOff>49696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431109</xdr:colOff>
      <xdr:row>43</xdr:row>
      <xdr:rowOff>113089</xdr:rowOff>
    </xdr:from>
    <xdr:to>
      <xdr:col>3</xdr:col>
      <xdr:colOff>630637</xdr:colOff>
      <xdr:row>44</xdr:row>
      <xdr:rowOff>132139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83684" y="5389939"/>
          <a:ext cx="96152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30</xdr:row>
      <xdr:rowOff>4141</xdr:rowOff>
    </xdr:from>
    <xdr:to>
      <xdr:col>12</xdr:col>
      <xdr:colOff>324932</xdr:colOff>
      <xdr:row>30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667472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34980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43</xdr:row>
      <xdr:rowOff>33337</xdr:rowOff>
    </xdr:from>
    <xdr:to>
      <xdr:col>12</xdr:col>
      <xdr:colOff>638175</xdr:colOff>
      <xdr:row>57</xdr:row>
      <xdr:rowOff>109537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2BF6BF-17CA-41F1-AC5B-7C97748AD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446942</xdr:colOff>
      <xdr:row>1</xdr:row>
      <xdr:rowOff>36635</xdr:rowOff>
    </xdr:from>
    <xdr:to>
      <xdr:col>4</xdr:col>
      <xdr:colOff>34012</xdr:colOff>
      <xdr:row>4</xdr:row>
      <xdr:rowOff>87923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942B9E2-F9D1-4E35-8E7F-20E9BC51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092" y="227135"/>
          <a:ext cx="987658" cy="622788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1</xdr:row>
      <xdr:rowOff>9525</xdr:rowOff>
    </xdr:from>
    <xdr:to>
      <xdr:col>16</xdr:col>
      <xdr:colOff>373619</xdr:colOff>
      <xdr:row>3</xdr:row>
      <xdr:rowOff>186463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F0EDD90A-9281-44E9-A447-23316632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00025"/>
          <a:ext cx="2259569" cy="557938"/>
        </a:xfrm>
        <a:prstGeom prst="rect">
          <a:avLst/>
        </a:prstGeom>
      </xdr:spPr>
    </xdr:pic>
    <xdr:clientData/>
  </xdr:twoCellAnchor>
  <xdr:twoCellAnchor>
    <xdr:from>
      <xdr:col>2</xdr:col>
      <xdr:colOff>23595</xdr:colOff>
      <xdr:row>12</xdr:row>
      <xdr:rowOff>172726</xdr:rowOff>
    </xdr:from>
    <xdr:to>
      <xdr:col>12</xdr:col>
      <xdr:colOff>33057</xdr:colOff>
      <xdr:row>29</xdr:row>
      <xdr:rowOff>74491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89759A0-5C3E-1BAD-FEDD-D69933DC8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479999</xdr:colOff>
      <xdr:row>26</xdr:row>
      <xdr:rowOff>130663</xdr:rowOff>
    </xdr:from>
    <xdr:to>
      <xdr:col>12</xdr:col>
      <xdr:colOff>720444</xdr:colOff>
      <xdr:row>38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3</xdr:col>
      <xdr:colOff>770050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158750</xdr:rowOff>
    </xdr:from>
    <xdr:to>
      <xdr:col>6</xdr:col>
      <xdr:colOff>240444</xdr:colOff>
      <xdr:row>39</xdr:row>
      <xdr:rowOff>28087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865187</xdr:colOff>
      <xdr:row>1</xdr:row>
      <xdr:rowOff>119062</xdr:rowOff>
    </xdr:from>
    <xdr:to>
      <xdr:col>9</xdr:col>
      <xdr:colOff>420811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499965</xdr:colOff>
      <xdr:row>4</xdr:row>
      <xdr:rowOff>106479</xdr:rowOff>
    </xdr:from>
    <xdr:to>
      <xdr:col>17</xdr:col>
      <xdr:colOff>965642</xdr:colOff>
      <xdr:row>6</xdr:row>
      <xdr:rowOff>266099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0878" y="868479"/>
          <a:ext cx="2238155" cy="548903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14</xdr:col>
      <xdr:colOff>11538</xdr:colOff>
      <xdr:row>6</xdr:row>
      <xdr:rowOff>349233</xdr:rowOff>
    </xdr:from>
    <xdr:to>
      <xdr:col>18</xdr:col>
      <xdr:colOff>932414</xdr:colOff>
      <xdr:row>21</xdr:row>
      <xdr:rowOff>95044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637008</xdr:colOff>
      <xdr:row>6</xdr:row>
      <xdr:rowOff>375728</xdr:rowOff>
    </xdr:from>
    <xdr:to>
      <xdr:col>24</xdr:col>
      <xdr:colOff>221371</xdr:colOff>
      <xdr:row>21</xdr:row>
      <xdr:rowOff>115352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752257</xdr:colOff>
      <xdr:row>30</xdr:row>
      <xdr:rowOff>234350</xdr:rowOff>
    </xdr:from>
    <xdr:to>
      <xdr:col>19</xdr:col>
      <xdr:colOff>295252</xdr:colOff>
      <xdr:row>45</xdr:row>
      <xdr:rowOff>108845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840440</xdr:colOff>
      <xdr:row>30</xdr:row>
      <xdr:rowOff>526189</xdr:rowOff>
    </xdr:from>
    <xdr:to>
      <xdr:col>26</xdr:col>
      <xdr:colOff>78440</xdr:colOff>
      <xdr:row>45</xdr:row>
      <xdr:rowOff>22606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32644</xdr:colOff>
      <xdr:row>50</xdr:row>
      <xdr:rowOff>169062</xdr:rowOff>
    </xdr:from>
    <xdr:to>
      <xdr:col>18</xdr:col>
      <xdr:colOff>965169</xdr:colOff>
      <xdr:row>66</xdr:row>
      <xdr:rowOff>2143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165562</xdr:colOff>
      <xdr:row>51</xdr:row>
      <xdr:rowOff>43432</xdr:rowOff>
    </xdr:from>
    <xdr:to>
      <xdr:col>25</xdr:col>
      <xdr:colOff>221591</xdr:colOff>
      <xdr:row>66</xdr:row>
      <xdr:rowOff>78219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744862</xdr:colOff>
      <xdr:row>4</xdr:row>
      <xdr:rowOff>170527</xdr:rowOff>
    </xdr:from>
    <xdr:to>
      <xdr:col>22</xdr:col>
      <xdr:colOff>897569</xdr:colOff>
      <xdr:row>6</xdr:row>
      <xdr:rowOff>330147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7862" y="932527"/>
          <a:ext cx="2231642" cy="548903"/>
        </a:xfrm>
        <a:prstGeom prst="rect">
          <a:avLst/>
        </a:prstGeom>
      </xdr:spPr>
    </xdr:pic>
    <xdr:clientData/>
  </xdr:twoCellAnchor>
  <xdr:twoCellAnchor editAs="oneCell">
    <xdr:from>
      <xdr:col>8</xdr:col>
      <xdr:colOff>530173</xdr:colOff>
      <xdr:row>0</xdr:row>
      <xdr:rowOff>0</xdr:rowOff>
    </xdr:from>
    <xdr:to>
      <xdr:col>11</xdr:col>
      <xdr:colOff>480379</xdr:colOff>
      <xdr:row>2</xdr:row>
      <xdr:rowOff>170826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25D078B7-007D-43F3-B3A7-90E4A374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55" y="0"/>
          <a:ext cx="2236206" cy="5518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520935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4</xdr:col>
      <xdr:colOff>325904</xdr:colOff>
      <xdr:row>29</xdr:row>
      <xdr:rowOff>169208</xdr:rowOff>
    </xdr:from>
    <xdr:to>
      <xdr:col>9</xdr:col>
      <xdr:colOff>419660</xdr:colOff>
      <xdr:row>45</xdr:row>
      <xdr:rowOff>100291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474786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100954</xdr:colOff>
      <xdr:row>30</xdr:row>
      <xdr:rowOff>171253</xdr:rowOff>
    </xdr:from>
    <xdr:to>
      <xdr:col>10</xdr:col>
      <xdr:colOff>282832</xdr:colOff>
      <xdr:row>42</xdr:row>
      <xdr:rowOff>162101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622962</xdr:colOff>
      <xdr:row>29</xdr:row>
      <xdr:rowOff>146415</xdr:rowOff>
    </xdr:from>
    <xdr:to>
      <xdr:col>9</xdr:col>
      <xdr:colOff>361356</xdr:colOff>
      <xdr:row>31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384962" y="3257915"/>
          <a:ext cx="3738894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372484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223631</xdr:colOff>
      <xdr:row>0</xdr:row>
      <xdr:rowOff>157370</xdr:rowOff>
    </xdr:from>
    <xdr:to>
      <xdr:col>12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24668</xdr:colOff>
      <xdr:row>36</xdr:row>
      <xdr:rowOff>98668</xdr:rowOff>
    </xdr:from>
    <xdr:to>
      <xdr:col>5</xdr:col>
      <xdr:colOff>503603</xdr:colOff>
      <xdr:row>54</xdr:row>
      <xdr:rowOff>51288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88058</xdr:colOff>
      <xdr:row>28</xdr:row>
      <xdr:rowOff>36566</xdr:rowOff>
    </xdr:from>
    <xdr:to>
      <xdr:col>5</xdr:col>
      <xdr:colOff>175314</xdr:colOff>
      <xdr:row>39</xdr:row>
      <xdr:rowOff>170649</xdr:rowOff>
    </xdr:to>
    <xdr:graphicFrame macro="">
      <xdr:nvGraphicFramePr>
        <xdr:cNvPr id="2" name="10 Gráfico">
          <a:extLst>
            <a:ext uri="{FF2B5EF4-FFF2-40B4-BE49-F238E27FC236}">
              <a16:creationId xmlns:a16="http://schemas.microsoft.com/office/drawing/2014/main" id="{7412F171-EEEB-49E2-966D-2F1CACD4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588089</xdr:colOff>
      <xdr:row>65</xdr:row>
      <xdr:rowOff>44161</xdr:rowOff>
    </xdr:from>
    <xdr:to>
      <xdr:col>17</xdr:col>
      <xdr:colOff>702388</xdr:colOff>
      <xdr:row>66</xdr:row>
      <xdr:rowOff>120361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E3A95FC-AC94-4EE6-8655-9FEDB168D4F6}"/>
            </a:ext>
          </a:extLst>
        </xdr:cNvPr>
        <xdr:cNvSpPr txBox="1"/>
      </xdr:nvSpPr>
      <xdr:spPr>
        <a:xfrm>
          <a:off x="12018089" y="12426661"/>
          <a:ext cx="163829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7</xdr:col>
      <xdr:colOff>266242</xdr:colOff>
      <xdr:row>26</xdr:row>
      <xdr:rowOff>4587</xdr:rowOff>
    </xdr:from>
    <xdr:to>
      <xdr:col>9</xdr:col>
      <xdr:colOff>612806</xdr:colOff>
      <xdr:row>27</xdr:row>
      <xdr:rowOff>80787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41605F-E6E2-484F-A7BE-C823C39B7978}"/>
            </a:ext>
          </a:extLst>
        </xdr:cNvPr>
        <xdr:cNvSpPr txBox="1"/>
      </xdr:nvSpPr>
      <xdr:spPr>
        <a:xfrm>
          <a:off x="6389456" y="283487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oneCellAnchor>
    <xdr:from>
      <xdr:col>0</xdr:col>
      <xdr:colOff>270708</xdr:colOff>
      <xdr:row>1</xdr:row>
      <xdr:rowOff>65942</xdr:rowOff>
    </xdr:from>
    <xdr:ext cx="871814" cy="549520"/>
    <xdr:pic>
      <xdr:nvPicPr>
        <xdr:cNvPr id="5" name="Picture 8">
          <a:extLst>
            <a:ext uri="{FF2B5EF4-FFF2-40B4-BE49-F238E27FC236}">
              <a16:creationId xmlns:a16="http://schemas.microsoft.com/office/drawing/2014/main" id="{4DD5A5D0-8A9D-405C-BF51-D9919A66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08" y="256442"/>
          <a:ext cx="871814" cy="549520"/>
        </a:xfrm>
        <a:prstGeom prst="rect">
          <a:avLst/>
        </a:prstGeom>
      </xdr:spPr>
    </xdr:pic>
    <xdr:clientData/>
  </xdr:oneCellAnchor>
  <xdr:twoCellAnchor>
    <xdr:from>
      <xdr:col>5</xdr:col>
      <xdr:colOff>414854</xdr:colOff>
      <xdr:row>28</xdr:row>
      <xdr:rowOff>100407</xdr:rowOff>
    </xdr:from>
    <xdr:to>
      <xdr:col>11</xdr:col>
      <xdr:colOff>217865</xdr:colOff>
      <xdr:row>40</xdr:row>
      <xdr:rowOff>38757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3C96AE7C-3C81-42F8-9061-2945E252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717560</xdr:colOff>
      <xdr:row>41</xdr:row>
      <xdr:rowOff>143770</xdr:rowOff>
    </xdr:from>
    <xdr:to>
      <xdr:col>11</xdr:col>
      <xdr:colOff>173275</xdr:colOff>
      <xdr:row>56</xdr:row>
      <xdr:rowOff>29470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918E741-4A5F-4509-AAD0-034771F70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769328</xdr:colOff>
      <xdr:row>1</xdr:row>
      <xdr:rowOff>14654</xdr:rowOff>
    </xdr:from>
    <xdr:ext cx="2232100" cy="557938"/>
    <xdr:pic>
      <xdr:nvPicPr>
        <xdr:cNvPr id="8" name="Picture 9">
          <a:extLst>
            <a:ext uri="{FF2B5EF4-FFF2-40B4-BE49-F238E27FC236}">
              <a16:creationId xmlns:a16="http://schemas.microsoft.com/office/drawing/2014/main" id="{F8AF9267-88C4-44C4-A567-EB0184EB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803" y="205154"/>
          <a:ext cx="2232100" cy="557938"/>
        </a:xfrm>
        <a:prstGeom prst="rect">
          <a:avLst/>
        </a:prstGeom>
      </xdr:spPr>
    </xdr:pic>
    <xdr:clientData/>
  </xdr:oneCellAnchor>
  <xdr:twoCellAnchor>
    <xdr:from>
      <xdr:col>1</xdr:col>
      <xdr:colOff>762000</xdr:colOff>
      <xdr:row>25</xdr:row>
      <xdr:rowOff>52487</xdr:rowOff>
    </xdr:from>
    <xdr:to>
      <xdr:col>3</xdr:col>
      <xdr:colOff>754674</xdr:colOff>
      <xdr:row>26</xdr:row>
      <xdr:rowOff>128687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3C8BA23-7508-4CB1-81D8-368BB9F6EE14}"/>
            </a:ext>
          </a:extLst>
        </xdr:cNvPr>
        <xdr:cNvSpPr txBox="1"/>
      </xdr:nvSpPr>
      <xdr:spPr>
        <a:xfrm>
          <a:off x="1575288" y="2697506"/>
          <a:ext cx="151667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0</xdr:col>
      <xdr:colOff>291351</xdr:colOff>
      <xdr:row>41</xdr:row>
      <xdr:rowOff>145675</xdr:rowOff>
    </xdr:from>
    <xdr:to>
      <xdr:col>5</xdr:col>
      <xdr:colOff>717175</xdr:colOff>
      <xdr:row>56</xdr:row>
      <xdr:rowOff>32496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B5FE624-4100-C68A-BE51-0D04822C9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180981</xdr:colOff>
      <xdr:row>5</xdr:row>
      <xdr:rowOff>130181</xdr:rowOff>
    </xdr:from>
    <xdr:to>
      <xdr:col>22</xdr:col>
      <xdr:colOff>333375</xdr:colOff>
      <xdr:row>27</xdr:row>
      <xdr:rowOff>152400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88900</xdr:colOff>
      <xdr:row>30</xdr:row>
      <xdr:rowOff>111125</xdr:rowOff>
    </xdr:from>
    <xdr:to>
      <xdr:col>22</xdr:col>
      <xdr:colOff>241294</xdr:colOff>
      <xdr:row>51</xdr:row>
      <xdr:rowOff>149219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2</xdr:row>
      <xdr:rowOff>133350</xdr:rowOff>
    </xdr:from>
    <xdr:to>
      <xdr:col>14</xdr:col>
      <xdr:colOff>379536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130421</xdr:rowOff>
    </xdr:from>
    <xdr:to>
      <xdr:col>5</xdr:col>
      <xdr:colOff>492125</xdr:colOff>
      <xdr:row>38</xdr:row>
      <xdr:rowOff>186836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1</xdr:col>
      <xdr:colOff>206650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5</xdr:col>
      <xdr:colOff>377336</xdr:colOff>
      <xdr:row>27</xdr:row>
      <xdr:rowOff>12212</xdr:rowOff>
    </xdr:from>
    <xdr:to>
      <xdr:col>10</xdr:col>
      <xdr:colOff>388327</xdr:colOff>
      <xdr:row>38</xdr:row>
      <xdr:rowOff>151424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75711</xdr:colOff>
      <xdr:row>28</xdr:row>
      <xdr:rowOff>48600</xdr:rowOff>
    </xdr:from>
    <xdr:to>
      <xdr:col>4</xdr:col>
      <xdr:colOff>451827</xdr:colOff>
      <xdr:row>38</xdr:row>
      <xdr:rowOff>42740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594181</xdr:colOff>
      <xdr:row>27</xdr:row>
      <xdr:rowOff>12519</xdr:rowOff>
    </xdr:from>
    <xdr:to>
      <xdr:col>10</xdr:col>
      <xdr:colOff>8028</xdr:colOff>
      <xdr:row>38</xdr:row>
      <xdr:rowOff>79926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825748</xdr:colOff>
      <xdr:row>1</xdr:row>
      <xdr:rowOff>163271</xdr:rowOff>
    </xdr:from>
    <xdr:to>
      <xdr:col>3</xdr:col>
      <xdr:colOff>1161254</xdr:colOff>
      <xdr:row>4</xdr:row>
      <xdr:rowOff>1943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623" y="353771"/>
          <a:ext cx="1653684" cy="410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189851</xdr:rowOff>
    </xdr:from>
    <xdr:to>
      <xdr:col>2</xdr:col>
      <xdr:colOff>1006896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27</xdr:row>
      <xdr:rowOff>7083</xdr:rowOff>
    </xdr:from>
    <xdr:to>
      <xdr:col>2</xdr:col>
      <xdr:colOff>1044575</xdr:colOff>
      <xdr:row>40</xdr:row>
      <xdr:rowOff>58615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21981</xdr:colOff>
      <xdr:row>2</xdr:row>
      <xdr:rowOff>36634</xdr:rowOff>
    </xdr:from>
    <xdr:to>
      <xdr:col>0</xdr:col>
      <xdr:colOff>600808</xdr:colOff>
      <xdr:row>4</xdr:row>
      <xdr:rowOff>19814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1" y="417634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1</xdr:row>
      <xdr:rowOff>102577</xdr:rowOff>
    </xdr:from>
    <xdr:to>
      <xdr:col>3</xdr:col>
      <xdr:colOff>486506</xdr:colOff>
      <xdr:row>3</xdr:row>
      <xdr:rowOff>131749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732" y="293077"/>
          <a:ext cx="1651486" cy="410172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27</xdr:row>
      <xdr:rowOff>71437</xdr:rowOff>
    </xdr:from>
    <xdr:to>
      <xdr:col>9</xdr:col>
      <xdr:colOff>57150</xdr:colOff>
      <xdr:row>40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BBF88E-78EE-4615-A07B-EE21FD664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248433</xdr:colOff>
      <xdr:row>32</xdr:row>
      <xdr:rowOff>167095</xdr:rowOff>
    </xdr:from>
    <xdr:to>
      <xdr:col>6</xdr:col>
      <xdr:colOff>792285</xdr:colOff>
      <xdr:row>52</xdr:row>
      <xdr:rowOff>69849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8</xdr:col>
      <xdr:colOff>128818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esar Augusto Roa Meran" id="{0707CAF8-F74A-49DF-B396-7A86EB0CF7DA}" userId="S::ceroa@dgjp.gob.do::b94029bf-696c-473e-8004-392e78c7d97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6" dT="2022-10-07T19:47:12.85" personId="{0707CAF8-F74A-49DF-B396-7A86EB0CF7DA}" id="{35910973-7874-4F15-8A11-E9529FBDF1DC}">
    <text xml:space="preserve">Pendiente de confirmación en Nómina, cantidad:  127,302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0"/>
  <sheetViews>
    <sheetView showGridLines="0" tabSelected="1" zoomScale="145" zoomScaleNormal="145" workbookViewId="0">
      <selection activeCell="C12" sqref="C12"/>
    </sheetView>
  </sheetViews>
  <sheetFormatPr baseColWidth="10" defaultColWidth="11.42578125" defaultRowHeight="15" x14ac:dyDescent="0.25"/>
  <cols>
    <col min="1" max="1" width="11.7109375" style="1" customWidth="1"/>
    <col min="2" max="2" width="15.42578125" style="1" customWidth="1"/>
    <col min="3" max="3" width="13.7109375" style="1" bestFit="1" customWidth="1"/>
    <col min="4" max="4" width="11.42578125" style="1" bestFit="1" customWidth="1"/>
    <col min="5" max="5" width="13.140625" style="1" customWidth="1"/>
    <col min="6" max="6" width="11.42578125" style="1" bestFit="1" customWidth="1"/>
    <col min="7" max="16384" width="11.42578125" style="1"/>
  </cols>
  <sheetData>
    <row r="1" spans="1:8" x14ac:dyDescent="0.25">
      <c r="A1" s="330" t="s">
        <v>0</v>
      </c>
      <c r="B1" s="330"/>
      <c r="C1" s="330"/>
      <c r="D1" s="330"/>
      <c r="E1" s="330"/>
      <c r="F1" s="330"/>
    </row>
    <row r="2" spans="1:8" x14ac:dyDescent="0.25">
      <c r="A2" s="330" t="s">
        <v>112</v>
      </c>
      <c r="B2" s="330"/>
      <c r="C2" s="330"/>
      <c r="D2" s="330"/>
      <c r="E2" s="330"/>
      <c r="F2" s="330"/>
    </row>
    <row r="3" spans="1:8" x14ac:dyDescent="0.25">
      <c r="A3" s="330" t="s">
        <v>147</v>
      </c>
      <c r="B3" s="330"/>
      <c r="C3" s="330"/>
      <c r="D3" s="330"/>
      <c r="E3" s="330"/>
      <c r="F3" s="330"/>
    </row>
    <row r="4" spans="1:8" x14ac:dyDescent="0.25">
      <c r="A4" s="330" t="s">
        <v>239</v>
      </c>
      <c r="B4" s="330"/>
      <c r="C4" s="330"/>
      <c r="D4" s="330"/>
      <c r="E4" s="330"/>
      <c r="F4" s="330"/>
    </row>
    <row r="5" spans="1:8" x14ac:dyDescent="0.25">
      <c r="A5" s="331" t="s">
        <v>218</v>
      </c>
      <c r="B5" s="331"/>
      <c r="C5" s="331"/>
      <c r="D5" s="331"/>
      <c r="E5" s="331"/>
      <c r="F5" s="331"/>
    </row>
    <row r="6" spans="1:8" x14ac:dyDescent="0.25">
      <c r="A6" s="329" t="s">
        <v>1</v>
      </c>
      <c r="B6" s="329" t="s">
        <v>168</v>
      </c>
      <c r="C6" s="329" t="s">
        <v>169</v>
      </c>
      <c r="D6" s="329"/>
      <c r="E6" s="329" t="s">
        <v>31</v>
      </c>
      <c r="F6" s="329"/>
    </row>
    <row r="7" spans="1:8" ht="11.25" customHeight="1" x14ac:dyDescent="0.25">
      <c r="A7" s="329"/>
      <c r="B7" s="329"/>
      <c r="C7" s="329"/>
      <c r="D7" s="329"/>
      <c r="E7" s="329"/>
      <c r="F7" s="329"/>
    </row>
    <row r="8" spans="1:8" x14ac:dyDescent="0.25">
      <c r="A8" s="139"/>
      <c r="B8" s="140" t="s">
        <v>18</v>
      </c>
      <c r="C8" s="140" t="s">
        <v>32</v>
      </c>
      <c r="D8" s="140" t="s">
        <v>33</v>
      </c>
      <c r="E8" s="140" t="s">
        <v>32</v>
      </c>
      <c r="F8" s="140" t="s">
        <v>33</v>
      </c>
      <c r="G8" s="141"/>
      <c r="H8" s="141"/>
    </row>
    <row r="9" spans="1:8" hidden="1" x14ac:dyDescent="0.25">
      <c r="A9" s="216" t="s">
        <v>119</v>
      </c>
      <c r="B9" s="250"/>
      <c r="C9" s="251"/>
      <c r="D9" s="217"/>
      <c r="E9" s="248"/>
      <c r="F9" s="217"/>
      <c r="G9" s="141"/>
      <c r="H9" s="141"/>
    </row>
    <row r="10" spans="1:8" x14ac:dyDescent="0.25">
      <c r="A10" s="94" t="s">
        <v>82</v>
      </c>
      <c r="B10" s="261">
        <v>42288256.979999997</v>
      </c>
      <c r="C10" s="261">
        <v>39432608.020000003</v>
      </c>
      <c r="D10" s="2">
        <f>+C10/B10</f>
        <v>0.93247182163713782</v>
      </c>
      <c r="E10" s="249">
        <f>+B10-C10</f>
        <v>2855648.9599999934</v>
      </c>
      <c r="F10" s="4">
        <f>(E10/B10)</f>
        <v>6.7528178362862235E-2</v>
      </c>
      <c r="G10" s="141"/>
      <c r="H10" s="141"/>
    </row>
    <row r="11" spans="1:8" x14ac:dyDescent="0.25">
      <c r="A11" s="94" t="s">
        <v>81</v>
      </c>
      <c r="B11" s="261">
        <v>44061408.979999997</v>
      </c>
      <c r="C11" s="261">
        <v>46450709.549999997</v>
      </c>
      <c r="D11" s="2">
        <f>+C11/B11</f>
        <v>1.0542266038538288</v>
      </c>
      <c r="E11" s="249">
        <f>+B11-C11</f>
        <v>-2389300.5700000003</v>
      </c>
      <c r="F11" s="4">
        <f>(E11/B11)</f>
        <v>-5.4226603853828929E-2</v>
      </c>
      <c r="G11" s="141"/>
      <c r="H11" s="141"/>
    </row>
    <row r="12" spans="1:8" x14ac:dyDescent="0.25">
      <c r="A12" s="94" t="s">
        <v>123</v>
      </c>
      <c r="B12" s="261">
        <v>41782161.979999997</v>
      </c>
      <c r="C12" s="261">
        <v>41299373.719999999</v>
      </c>
      <c r="D12" s="2">
        <f>+C12/B12</f>
        <v>0.98844511061368501</v>
      </c>
      <c r="E12" s="249">
        <f>+B12-C12</f>
        <v>482788.25999999791</v>
      </c>
      <c r="F12" s="4">
        <f>(E12/B12)</f>
        <v>1.1554889386315043E-2</v>
      </c>
      <c r="G12" s="141"/>
      <c r="H12" s="141"/>
    </row>
    <row r="13" spans="1:8" x14ac:dyDescent="0.25">
      <c r="A13" s="144" t="s">
        <v>86</v>
      </c>
      <c r="B13" s="8">
        <f>SUM(B10:B12)</f>
        <v>128131827.94</v>
      </c>
      <c r="C13" s="8">
        <f>SUM(C10:C12)</f>
        <v>127182691.28999999</v>
      </c>
      <c r="D13" s="3">
        <f>(C13/B13)</f>
        <v>0.99259249895003088</v>
      </c>
      <c r="E13" s="252">
        <f>SUM(E10:E12)</f>
        <v>949136.64999999106</v>
      </c>
      <c r="F13" s="5">
        <f>(E13/B13)</f>
        <v>7.4075010499689521E-3</v>
      </c>
      <c r="G13" s="141"/>
      <c r="H13" s="141"/>
    </row>
    <row r="14" spans="1:8" hidden="1" x14ac:dyDescent="0.25">
      <c r="A14" s="94" t="s">
        <v>34</v>
      </c>
      <c r="B14" s="145"/>
      <c r="C14" s="146"/>
      <c r="D14" s="2" t="e">
        <f t="shared" ref="D14:D25" si="0">+C14/B14</f>
        <v>#DIV/0!</v>
      </c>
      <c r="E14" s="147"/>
      <c r="F14" s="4" t="e">
        <f t="shared" ref="F14:F25" si="1">(E14/B14)</f>
        <v>#DIV/0!</v>
      </c>
      <c r="G14" s="141"/>
      <c r="H14" s="141"/>
    </row>
    <row r="15" spans="1:8" hidden="1" x14ac:dyDescent="0.25">
      <c r="A15" s="94" t="s">
        <v>35</v>
      </c>
      <c r="B15" s="145"/>
      <c r="C15" s="146"/>
      <c r="D15" s="2" t="e">
        <f t="shared" si="0"/>
        <v>#DIV/0!</v>
      </c>
      <c r="E15" s="147"/>
      <c r="F15" s="4" t="e">
        <f t="shared" si="1"/>
        <v>#DIV/0!</v>
      </c>
      <c r="G15" s="141"/>
      <c r="H15" s="141"/>
    </row>
    <row r="16" spans="1:8" hidden="1" x14ac:dyDescent="0.25">
      <c r="A16" s="94" t="s">
        <v>36</v>
      </c>
      <c r="B16" s="145"/>
      <c r="C16" s="146"/>
      <c r="D16" s="2" t="e">
        <f t="shared" si="0"/>
        <v>#DIV/0!</v>
      </c>
      <c r="E16" s="147"/>
      <c r="F16" s="4" t="e">
        <f t="shared" si="1"/>
        <v>#DIV/0!</v>
      </c>
      <c r="G16" s="141"/>
      <c r="H16" s="141"/>
    </row>
    <row r="17" spans="1:8" hidden="1" x14ac:dyDescent="0.25">
      <c r="A17" s="144" t="s">
        <v>122</v>
      </c>
      <c r="B17" s="8">
        <f>SUM(B14:B16)</f>
        <v>0</v>
      </c>
      <c r="C17" s="8">
        <f>SUM(C14:C16)</f>
        <v>0</v>
      </c>
      <c r="D17" s="3" t="e">
        <f>(C17/B17)</f>
        <v>#DIV/0!</v>
      </c>
      <c r="E17" s="9">
        <f>SUM(E14:E16)</f>
        <v>0</v>
      </c>
      <c r="F17" s="5" t="e">
        <f>(E17/B17)</f>
        <v>#DIV/0!</v>
      </c>
      <c r="G17" s="141"/>
      <c r="H17" s="141"/>
    </row>
    <row r="18" spans="1:8" hidden="1" x14ac:dyDescent="0.25">
      <c r="A18" s="94" t="s">
        <v>123</v>
      </c>
      <c r="B18" s="145"/>
      <c r="C18" s="146"/>
      <c r="D18" s="2" t="e">
        <f t="shared" si="0"/>
        <v>#DIV/0!</v>
      </c>
      <c r="E18" s="147"/>
      <c r="F18" s="4" t="e">
        <f t="shared" si="1"/>
        <v>#DIV/0!</v>
      </c>
      <c r="G18" s="141"/>
      <c r="H18" s="141"/>
    </row>
    <row r="19" spans="1:8" hidden="1" x14ac:dyDescent="0.25">
      <c r="A19" s="94" t="s">
        <v>81</v>
      </c>
      <c r="B19" s="145"/>
      <c r="C19" s="146"/>
      <c r="D19" s="2" t="e">
        <f t="shared" si="0"/>
        <v>#DIV/0!</v>
      </c>
      <c r="E19" s="147"/>
      <c r="F19" s="4" t="e">
        <f t="shared" si="1"/>
        <v>#DIV/0!</v>
      </c>
      <c r="G19" s="141"/>
      <c r="H19" s="141"/>
    </row>
    <row r="20" spans="1:8" hidden="1" x14ac:dyDescent="0.25">
      <c r="A20" s="94" t="s">
        <v>82</v>
      </c>
      <c r="B20" s="145"/>
      <c r="C20" s="146"/>
      <c r="D20" s="2" t="e">
        <f t="shared" si="0"/>
        <v>#DIV/0!</v>
      </c>
      <c r="E20" s="147"/>
      <c r="F20" s="4" t="e">
        <f t="shared" si="1"/>
        <v>#DIV/0!</v>
      </c>
      <c r="G20" s="141"/>
      <c r="H20" s="141"/>
    </row>
    <row r="21" spans="1:8" hidden="1" x14ac:dyDescent="0.25">
      <c r="A21" s="144" t="s">
        <v>86</v>
      </c>
      <c r="B21" s="8">
        <f>SUM(B18:B20)</f>
        <v>0</v>
      </c>
      <c r="C21" s="8">
        <f>SUM(C18:C20)</f>
        <v>0</v>
      </c>
      <c r="D21" s="3" t="e">
        <f>(C21/B21)</f>
        <v>#DIV/0!</v>
      </c>
      <c r="E21" s="9">
        <f>SUM(E18:E20)</f>
        <v>0</v>
      </c>
      <c r="F21" s="5" t="e">
        <f>(E21/B21)</f>
        <v>#DIV/0!</v>
      </c>
      <c r="G21" s="141"/>
      <c r="H21" s="141"/>
    </row>
    <row r="22" spans="1:8" hidden="1" x14ac:dyDescent="0.25">
      <c r="A22" s="94" t="s">
        <v>83</v>
      </c>
      <c r="B22" s="145"/>
      <c r="C22" s="146"/>
      <c r="D22" s="2" t="e">
        <f t="shared" si="0"/>
        <v>#DIV/0!</v>
      </c>
      <c r="E22" s="147"/>
      <c r="F22" s="4" t="e">
        <f t="shared" si="1"/>
        <v>#DIV/0!</v>
      </c>
      <c r="G22" s="141"/>
      <c r="H22" s="141"/>
    </row>
    <row r="23" spans="1:8" hidden="1" x14ac:dyDescent="0.25">
      <c r="A23" s="94" t="s">
        <v>84</v>
      </c>
      <c r="B23" s="145"/>
      <c r="C23" s="146"/>
      <c r="D23" s="2" t="e">
        <f t="shared" si="0"/>
        <v>#DIV/0!</v>
      </c>
      <c r="E23" s="147"/>
      <c r="F23" s="4" t="e">
        <f t="shared" si="1"/>
        <v>#DIV/0!</v>
      </c>
      <c r="G23" s="141"/>
      <c r="H23" s="141"/>
    </row>
    <row r="24" spans="1:8" hidden="1" x14ac:dyDescent="0.25">
      <c r="A24" s="94" t="s">
        <v>85</v>
      </c>
      <c r="B24" s="145"/>
      <c r="C24" s="146"/>
      <c r="D24" s="2" t="e">
        <f t="shared" si="0"/>
        <v>#DIV/0!</v>
      </c>
      <c r="E24" s="147"/>
      <c r="F24" s="4" t="e">
        <f t="shared" si="1"/>
        <v>#DIV/0!</v>
      </c>
      <c r="G24" s="141"/>
      <c r="H24" s="141"/>
    </row>
    <row r="25" spans="1:8" hidden="1" x14ac:dyDescent="0.25">
      <c r="A25" s="94" t="s">
        <v>119</v>
      </c>
      <c r="B25" s="145"/>
      <c r="C25" s="146"/>
      <c r="D25" s="2" t="e">
        <f t="shared" si="0"/>
        <v>#DIV/0!</v>
      </c>
      <c r="E25" s="147"/>
      <c r="F25" s="4" t="e">
        <f t="shared" si="1"/>
        <v>#DIV/0!</v>
      </c>
      <c r="G25" s="141"/>
      <c r="H25" s="141"/>
    </row>
    <row r="26" spans="1:8" hidden="1" x14ac:dyDescent="0.25">
      <c r="A26" s="144" t="s">
        <v>87</v>
      </c>
      <c r="B26" s="8">
        <f>SUM(B22:B25)</f>
        <v>0</v>
      </c>
      <c r="C26" s="8">
        <f>SUM(C22:C25)</f>
        <v>0</v>
      </c>
      <c r="D26" s="3" t="e">
        <f>(C26/B26)</f>
        <v>#DIV/0!</v>
      </c>
      <c r="E26" s="9">
        <f>SUM(E22:E25)</f>
        <v>0</v>
      </c>
      <c r="F26" s="5" t="e">
        <f>(E26/B26)</f>
        <v>#DIV/0!</v>
      </c>
      <c r="G26" s="141"/>
      <c r="H26" s="141"/>
    </row>
    <row r="27" spans="1:8" hidden="1" x14ac:dyDescent="0.25">
      <c r="A27" s="148" t="s">
        <v>9</v>
      </c>
      <c r="B27" s="10">
        <f>+B13+B17+B21+B26</f>
        <v>128131827.94</v>
      </c>
      <c r="C27" s="10">
        <f>+C13+C17+C21+C26</f>
        <v>127182691.28999999</v>
      </c>
      <c r="D27" s="7">
        <f>(C27/B27)</f>
        <v>0.99259249895003088</v>
      </c>
      <c r="E27" s="11">
        <f>+E13+E17+E21+E26</f>
        <v>949136.64999999106</v>
      </c>
      <c r="F27" s="6">
        <f>(E27/B27)</f>
        <v>7.4075010499689521E-3</v>
      </c>
      <c r="G27" s="141"/>
      <c r="H27" s="141"/>
    </row>
    <row r="28" spans="1:8" x14ac:dyDescent="0.25">
      <c r="A28" s="149" t="s">
        <v>259</v>
      </c>
      <c r="B28" s="141"/>
      <c r="C28" s="141"/>
      <c r="D28" s="141"/>
      <c r="E28" s="141"/>
      <c r="F28" s="141"/>
      <c r="G28" s="141"/>
      <c r="H28" s="141"/>
    </row>
    <row r="29" spans="1:8" s="15" customFormat="1" ht="27.75" customHeight="1" x14ac:dyDescent="0.2">
      <c r="A29" s="328" t="s">
        <v>266</v>
      </c>
      <c r="B29" s="328"/>
      <c r="C29" s="328"/>
      <c r="D29" s="328"/>
      <c r="E29" s="328"/>
      <c r="F29" s="328"/>
      <c r="G29" s="163"/>
      <c r="H29" s="163"/>
    </row>
    <row r="30" spans="1:8" x14ac:dyDescent="0.25">
      <c r="A30" s="141"/>
      <c r="B30" s="141"/>
      <c r="C30" s="141"/>
      <c r="D30" s="141"/>
      <c r="E30" s="141"/>
      <c r="F30" s="141"/>
      <c r="G30" s="141"/>
      <c r="H30" s="141"/>
    </row>
    <row r="31" spans="1:8" x14ac:dyDescent="0.25">
      <c r="A31" s="141"/>
      <c r="B31" s="141"/>
      <c r="C31" s="141"/>
      <c r="D31" s="141"/>
      <c r="E31" s="141"/>
      <c r="F31" s="141"/>
      <c r="G31" s="141"/>
      <c r="H31" s="141"/>
    </row>
    <row r="32" spans="1:8" x14ac:dyDescent="0.25">
      <c r="A32" s="141"/>
      <c r="B32" s="141"/>
      <c r="C32" s="141"/>
      <c r="D32" s="141"/>
      <c r="E32" s="141"/>
      <c r="F32" s="141"/>
      <c r="G32" s="141"/>
      <c r="H32" s="141"/>
    </row>
    <row r="33" spans="1:8" x14ac:dyDescent="0.25">
      <c r="A33" s="141"/>
      <c r="B33" s="141"/>
      <c r="C33" s="141"/>
      <c r="D33" s="141"/>
      <c r="E33" s="141"/>
      <c r="F33" s="141"/>
      <c r="G33" s="141"/>
      <c r="H33" s="141"/>
    </row>
    <row r="34" spans="1:8" x14ac:dyDescent="0.25">
      <c r="A34" s="141"/>
      <c r="B34" s="141"/>
      <c r="C34" s="141"/>
      <c r="D34" s="141"/>
      <c r="E34" s="141"/>
      <c r="F34" s="141"/>
      <c r="G34" s="141"/>
      <c r="H34" s="141"/>
    </row>
    <row r="35" spans="1:8" x14ac:dyDescent="0.25">
      <c r="A35" s="141"/>
      <c r="B35" s="141"/>
      <c r="C35" s="141"/>
      <c r="D35" s="141"/>
      <c r="E35" s="141"/>
      <c r="F35" s="141"/>
      <c r="G35" s="141"/>
      <c r="H35" s="141"/>
    </row>
    <row r="36" spans="1:8" x14ac:dyDescent="0.25">
      <c r="A36" s="141"/>
      <c r="B36" s="141"/>
      <c r="C36" s="141"/>
      <c r="D36" s="141"/>
      <c r="E36" s="141"/>
      <c r="F36" s="141"/>
      <c r="G36" s="141"/>
      <c r="H36" s="141"/>
    </row>
    <row r="37" spans="1:8" x14ac:dyDescent="0.25">
      <c r="A37" s="141"/>
      <c r="B37" s="141"/>
      <c r="C37" s="141"/>
      <c r="D37" s="141"/>
      <c r="E37" s="141"/>
      <c r="F37" s="141"/>
      <c r="G37" s="141"/>
      <c r="H37" s="141"/>
    </row>
    <row r="38" spans="1:8" x14ac:dyDescent="0.25">
      <c r="A38" s="141"/>
      <c r="B38" s="141"/>
      <c r="C38" s="141"/>
      <c r="D38" s="141"/>
      <c r="E38" s="141"/>
      <c r="F38" s="141"/>
      <c r="G38" s="141"/>
      <c r="H38" s="141"/>
    </row>
    <row r="39" spans="1:8" x14ac:dyDescent="0.25">
      <c r="A39" s="141"/>
      <c r="B39" s="141"/>
      <c r="C39" s="141"/>
      <c r="D39" s="141"/>
      <c r="E39" s="141"/>
      <c r="F39" s="141"/>
      <c r="G39" s="141"/>
      <c r="H39" s="141"/>
    </row>
    <row r="40" spans="1:8" x14ac:dyDescent="0.25">
      <c r="A40" s="141"/>
      <c r="B40" s="141"/>
      <c r="C40" s="141"/>
      <c r="D40" s="141"/>
      <c r="E40" s="141"/>
      <c r="F40" s="141"/>
      <c r="G40" s="141"/>
      <c r="H40" s="141"/>
    </row>
    <row r="41" spans="1:8" x14ac:dyDescent="0.25">
      <c r="A41" s="141"/>
      <c r="B41" s="141"/>
      <c r="C41" s="141"/>
      <c r="D41" s="141"/>
      <c r="E41" s="141"/>
      <c r="F41" s="141"/>
      <c r="G41" s="141"/>
      <c r="H41" s="141"/>
    </row>
    <row r="42" spans="1:8" x14ac:dyDescent="0.25">
      <c r="A42" s="141"/>
      <c r="B42" s="141"/>
      <c r="C42" s="141"/>
      <c r="D42" s="141"/>
      <c r="E42" s="141"/>
      <c r="F42" s="141"/>
      <c r="G42" s="141"/>
      <c r="H42" s="141"/>
    </row>
    <row r="43" spans="1:8" x14ac:dyDescent="0.25">
      <c r="A43" s="141"/>
      <c r="B43" s="141"/>
      <c r="C43" s="141"/>
      <c r="D43" s="141"/>
      <c r="E43" s="141"/>
      <c r="F43" s="141"/>
      <c r="G43" s="141"/>
      <c r="H43" s="141"/>
    </row>
    <row r="44" spans="1:8" x14ac:dyDescent="0.25">
      <c r="A44" s="141"/>
      <c r="B44" s="141"/>
      <c r="C44" s="141"/>
      <c r="D44" s="141"/>
      <c r="E44" s="141"/>
      <c r="F44" s="141"/>
      <c r="G44" s="141"/>
      <c r="H44" s="141"/>
    </row>
    <row r="45" spans="1:8" x14ac:dyDescent="0.25">
      <c r="A45" s="141"/>
      <c r="B45" s="141"/>
      <c r="C45" s="141"/>
      <c r="D45" s="141"/>
      <c r="E45" s="141"/>
      <c r="F45" s="141"/>
      <c r="G45" s="141"/>
      <c r="H45" s="141"/>
    </row>
    <row r="46" spans="1:8" x14ac:dyDescent="0.25">
      <c r="A46" s="141"/>
      <c r="B46" s="141"/>
      <c r="C46" s="141"/>
      <c r="D46" s="141"/>
      <c r="E46" s="141"/>
      <c r="F46" s="141"/>
      <c r="G46" s="141"/>
      <c r="H46" s="141"/>
    </row>
    <row r="50" spans="1:6" x14ac:dyDescent="0.25">
      <c r="A50" s="94"/>
      <c r="B50" s="142"/>
      <c r="C50" s="142"/>
      <c r="D50" s="2"/>
      <c r="E50" s="143"/>
      <c r="F50" s="4"/>
    </row>
  </sheetData>
  <mergeCells count="10">
    <mergeCell ref="A29:F29"/>
    <mergeCell ref="B6:B7"/>
    <mergeCell ref="A6:A7"/>
    <mergeCell ref="A1:F1"/>
    <mergeCell ref="A2:F2"/>
    <mergeCell ref="A3:F3"/>
    <mergeCell ref="A5:F5"/>
    <mergeCell ref="C6:D7"/>
    <mergeCell ref="E6:F7"/>
    <mergeCell ref="A4:F4"/>
  </mergeCells>
  <pageMargins left="0.7" right="0.7" top="0.75" bottom="0.75" header="0.3" footer="0.3"/>
  <pageSetup paperSize="9" scale="99" orientation="portrait" r:id="rId1"/>
  <ignoredErrors>
    <ignoredError sqref="E11" unlockedFormula="1"/>
    <ignoredError sqref="D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4"/>
  <sheetViews>
    <sheetView showGridLines="0" tabSelected="1" zoomScale="115" zoomScaleNormal="115" workbookViewId="0">
      <selection activeCell="C12" sqref="C12"/>
    </sheetView>
  </sheetViews>
  <sheetFormatPr baseColWidth="10" defaultColWidth="11.42578125" defaultRowHeight="15" x14ac:dyDescent="0.25"/>
  <cols>
    <col min="1" max="1" width="11.42578125" style="1"/>
    <col min="2" max="11" width="13.42578125" style="1" customWidth="1"/>
    <col min="12" max="16384" width="11.42578125" style="1"/>
  </cols>
  <sheetData>
    <row r="1" spans="1:13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3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3" x14ac:dyDescent="0.25">
      <c r="A3" s="330" t="s">
        <v>151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3" x14ac:dyDescent="0.25">
      <c r="A4" s="330" t="s">
        <v>239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22"/>
      <c r="M4" s="22"/>
    </row>
    <row r="5" spans="1:13" x14ac:dyDescent="0.25">
      <c r="A5" s="331" t="s">
        <v>218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3" x14ac:dyDescent="0.25">
      <c r="A6" s="358" t="s">
        <v>23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13" ht="15" customHeight="1" x14ac:dyDescent="0.25">
      <c r="A7" s="179"/>
      <c r="B7" s="333" t="s">
        <v>19</v>
      </c>
      <c r="C7" s="333"/>
      <c r="D7" s="333" t="s">
        <v>142</v>
      </c>
      <c r="E7" s="333"/>
      <c r="F7" s="333" t="s">
        <v>20</v>
      </c>
      <c r="G7" s="333"/>
      <c r="H7" s="359" t="s">
        <v>21</v>
      </c>
      <c r="I7" s="359"/>
      <c r="J7" s="359" t="s">
        <v>9</v>
      </c>
      <c r="K7" s="359"/>
      <c r="L7" s="141"/>
      <c r="M7" s="141"/>
    </row>
    <row r="8" spans="1:13" x14ac:dyDescent="0.25">
      <c r="A8" s="156" t="s">
        <v>1</v>
      </c>
      <c r="B8" s="156" t="s">
        <v>22</v>
      </c>
      <c r="C8" s="156" t="s">
        <v>18</v>
      </c>
      <c r="D8" s="156" t="s">
        <v>22</v>
      </c>
      <c r="E8" s="156" t="s">
        <v>18</v>
      </c>
      <c r="F8" s="156" t="s">
        <v>22</v>
      </c>
      <c r="G8" s="156" t="s">
        <v>18</v>
      </c>
      <c r="H8" s="156" t="s">
        <v>22</v>
      </c>
      <c r="I8" s="156" t="s">
        <v>18</v>
      </c>
      <c r="J8" s="156" t="s">
        <v>22</v>
      </c>
      <c r="K8" s="156" t="s">
        <v>18</v>
      </c>
      <c r="L8" s="141"/>
      <c r="M8" s="141"/>
    </row>
    <row r="9" spans="1:13" x14ac:dyDescent="0.25">
      <c r="A9" s="307" t="s">
        <v>82</v>
      </c>
      <c r="B9" s="180">
        <v>2698</v>
      </c>
      <c r="C9" s="180">
        <v>43710081.989999995</v>
      </c>
      <c r="D9" s="180">
        <v>73</v>
      </c>
      <c r="E9" s="180">
        <v>2486765.7400000002</v>
      </c>
      <c r="F9" s="180">
        <v>320</v>
      </c>
      <c r="G9" s="180">
        <v>3723688.8000000003</v>
      </c>
      <c r="H9" s="180">
        <v>101</v>
      </c>
      <c r="I9" s="180">
        <v>1973637.21</v>
      </c>
      <c r="J9" s="50">
        <f t="shared" ref="J9" si="0">+B9-(F9+H9)</f>
        <v>2277</v>
      </c>
      <c r="K9" s="84">
        <f t="shared" ref="K9" si="1">+(E9+C9)-(G9+I9)</f>
        <v>40499521.719999999</v>
      </c>
      <c r="L9" s="141"/>
      <c r="M9" s="141"/>
    </row>
    <row r="10" spans="1:13" x14ac:dyDescent="0.25">
      <c r="A10" s="74" t="s">
        <v>81</v>
      </c>
      <c r="B10" s="180">
        <v>0</v>
      </c>
      <c r="C10" s="180">
        <v>0</v>
      </c>
      <c r="D10" s="180">
        <v>0</v>
      </c>
      <c r="E10" s="180">
        <v>0</v>
      </c>
      <c r="F10" s="180">
        <v>348</v>
      </c>
      <c r="G10" s="180">
        <v>4635038.3</v>
      </c>
      <c r="H10" s="180">
        <v>319</v>
      </c>
      <c r="I10" s="180">
        <v>4651392.22</v>
      </c>
      <c r="J10" s="50">
        <f t="shared" ref="J10:J23" si="2">+B10-(F10+H10)</f>
        <v>-667</v>
      </c>
      <c r="K10" s="84">
        <f t="shared" ref="K10" si="3">+(E10+C10)-(G10+I10)</f>
        <v>-9286430.5199999996</v>
      </c>
      <c r="L10" s="141"/>
      <c r="M10" s="141"/>
    </row>
    <row r="11" spans="1:13" x14ac:dyDescent="0.25">
      <c r="A11" s="74" t="s">
        <v>80</v>
      </c>
      <c r="B11" s="180">
        <v>3009</v>
      </c>
      <c r="C11" s="180">
        <v>60166478.650000006</v>
      </c>
      <c r="D11" s="180">
        <v>32</v>
      </c>
      <c r="E11" s="180">
        <v>591958.65</v>
      </c>
      <c r="F11" s="180">
        <v>396</v>
      </c>
      <c r="G11" s="180">
        <v>4487107.1899999995</v>
      </c>
      <c r="H11" s="180">
        <v>501</v>
      </c>
      <c r="I11" s="180">
        <v>6197472.2399999993</v>
      </c>
      <c r="J11" s="50">
        <f>+B11-(F11+H11)</f>
        <v>2112</v>
      </c>
      <c r="K11" s="84">
        <f>+(E11+C11)-(G11+I11)</f>
        <v>50073857.870000005</v>
      </c>
      <c r="L11" s="141"/>
      <c r="M11" s="141"/>
    </row>
    <row r="12" spans="1:13" x14ac:dyDescent="0.25">
      <c r="A12" s="49" t="s">
        <v>86</v>
      </c>
      <c r="B12" s="8">
        <f>SUM(B9:B11)</f>
        <v>5707</v>
      </c>
      <c r="C12" s="8">
        <f>SUM(C9:C11)</f>
        <v>103876560.64</v>
      </c>
      <c r="D12" s="8">
        <f>SUM(D9:D11)</f>
        <v>105</v>
      </c>
      <c r="E12" s="8">
        <f>SUM(E9:E11)</f>
        <v>3078724.39</v>
      </c>
      <c r="F12" s="8">
        <f t="shared" ref="F12:I12" si="4">SUM(F9:F11)</f>
        <v>1064</v>
      </c>
      <c r="G12" s="8">
        <f t="shared" si="4"/>
        <v>12845834.289999999</v>
      </c>
      <c r="H12" s="8">
        <f t="shared" si="4"/>
        <v>921</v>
      </c>
      <c r="I12" s="8">
        <f t="shared" si="4"/>
        <v>12822501.669999998</v>
      </c>
      <c r="J12" s="8">
        <f>SUM(J9:J11)</f>
        <v>3722</v>
      </c>
      <c r="K12" s="85">
        <f>SUM(K9:K11)</f>
        <v>81286949.070000008</v>
      </c>
      <c r="L12" s="141"/>
      <c r="M12" s="141"/>
    </row>
    <row r="13" spans="1:13" hidden="1" x14ac:dyDescent="0.25">
      <c r="A13" s="74" t="s">
        <v>34</v>
      </c>
      <c r="B13" s="180"/>
      <c r="C13" s="180"/>
      <c r="D13" s="180"/>
      <c r="E13" s="180"/>
      <c r="F13" s="180"/>
      <c r="G13" s="180"/>
      <c r="H13" s="180"/>
      <c r="I13" s="180"/>
      <c r="J13" s="50">
        <f t="shared" si="2"/>
        <v>0</v>
      </c>
      <c r="K13" s="50">
        <f t="shared" ref="K13:K23" si="5">+G13+I13+E13+C13</f>
        <v>0</v>
      </c>
      <c r="L13" s="141"/>
      <c r="M13" s="141"/>
    </row>
    <row r="14" spans="1:13" hidden="1" x14ac:dyDescent="0.25">
      <c r="A14" s="74" t="s">
        <v>35</v>
      </c>
      <c r="B14" s="180"/>
      <c r="C14" s="180"/>
      <c r="D14" s="180"/>
      <c r="E14" s="180"/>
      <c r="F14" s="180"/>
      <c r="G14" s="180"/>
      <c r="H14" s="180"/>
      <c r="I14" s="180"/>
      <c r="J14" s="50">
        <f t="shared" si="2"/>
        <v>0</v>
      </c>
      <c r="K14" s="50">
        <f t="shared" si="5"/>
        <v>0</v>
      </c>
      <c r="L14" s="141"/>
      <c r="M14" s="141"/>
    </row>
    <row r="15" spans="1:13" hidden="1" x14ac:dyDescent="0.25">
      <c r="A15" s="74" t="s">
        <v>36</v>
      </c>
      <c r="B15" s="180"/>
      <c r="C15" s="180"/>
      <c r="D15" s="180"/>
      <c r="E15" s="180"/>
      <c r="F15" s="180"/>
      <c r="G15" s="180"/>
      <c r="H15" s="180"/>
      <c r="I15" s="180"/>
      <c r="J15" s="50">
        <f t="shared" si="2"/>
        <v>0</v>
      </c>
      <c r="K15" s="50">
        <f t="shared" si="5"/>
        <v>0</v>
      </c>
      <c r="L15" s="141"/>
      <c r="M15" s="141"/>
    </row>
    <row r="16" spans="1:13" hidden="1" x14ac:dyDescent="0.25">
      <c r="A16" s="49" t="s">
        <v>122</v>
      </c>
      <c r="B16" s="8">
        <f t="shared" ref="B16:K16" si="6">SUM(B13:B15)</f>
        <v>0</v>
      </c>
      <c r="C16" s="8">
        <f t="shared" si="6"/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141"/>
      <c r="M16" s="141"/>
    </row>
    <row r="17" spans="1:13" hidden="1" x14ac:dyDescent="0.25">
      <c r="A17" s="74" t="s">
        <v>80</v>
      </c>
      <c r="B17" s="180"/>
      <c r="C17" s="180"/>
      <c r="D17" s="180"/>
      <c r="E17" s="180"/>
      <c r="F17" s="180"/>
      <c r="G17" s="180"/>
      <c r="H17" s="180"/>
      <c r="I17" s="180"/>
      <c r="J17" s="50">
        <f t="shared" si="2"/>
        <v>0</v>
      </c>
      <c r="K17" s="50">
        <f t="shared" si="5"/>
        <v>0</v>
      </c>
      <c r="L17" s="141"/>
      <c r="M17" s="141"/>
    </row>
    <row r="18" spans="1:13" hidden="1" x14ac:dyDescent="0.25">
      <c r="A18" s="74" t="s">
        <v>81</v>
      </c>
      <c r="B18" s="180"/>
      <c r="C18" s="180"/>
      <c r="D18" s="180"/>
      <c r="E18" s="180"/>
      <c r="F18" s="180"/>
      <c r="G18" s="180"/>
      <c r="H18" s="180"/>
      <c r="I18" s="180"/>
      <c r="J18" s="50">
        <f t="shared" si="2"/>
        <v>0</v>
      </c>
      <c r="K18" s="50">
        <f t="shared" si="5"/>
        <v>0</v>
      </c>
      <c r="L18" s="141"/>
      <c r="M18" s="141"/>
    </row>
    <row r="19" spans="1:13" hidden="1" x14ac:dyDescent="0.25">
      <c r="A19" s="74" t="s">
        <v>82</v>
      </c>
      <c r="B19" s="180"/>
      <c r="C19" s="180"/>
      <c r="D19" s="180"/>
      <c r="E19" s="180"/>
      <c r="F19" s="180"/>
      <c r="G19" s="180"/>
      <c r="H19" s="180"/>
      <c r="I19" s="180"/>
      <c r="J19" s="50">
        <f t="shared" si="2"/>
        <v>0</v>
      </c>
      <c r="K19" s="50">
        <f t="shared" si="5"/>
        <v>0</v>
      </c>
      <c r="L19" s="141"/>
      <c r="M19" s="141"/>
    </row>
    <row r="20" spans="1:13" hidden="1" x14ac:dyDescent="0.25">
      <c r="A20" s="49" t="s">
        <v>86</v>
      </c>
      <c r="B20" s="8">
        <f t="shared" ref="B20:K20" si="7">SUM(B17:B19)</f>
        <v>0</v>
      </c>
      <c r="C20" s="8">
        <f t="shared" si="7"/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141"/>
      <c r="M20" s="141"/>
    </row>
    <row r="21" spans="1:13" hidden="1" x14ac:dyDescent="0.25">
      <c r="A21" s="74" t="s">
        <v>83</v>
      </c>
      <c r="B21" s="180"/>
      <c r="C21" s="180"/>
      <c r="D21" s="180"/>
      <c r="E21" s="180"/>
      <c r="F21" s="180"/>
      <c r="G21" s="180"/>
      <c r="H21" s="180"/>
      <c r="I21" s="180"/>
      <c r="J21" s="50">
        <f t="shared" si="2"/>
        <v>0</v>
      </c>
      <c r="K21" s="50">
        <f t="shared" si="5"/>
        <v>0</v>
      </c>
      <c r="L21" s="141"/>
      <c r="M21" s="141"/>
    </row>
    <row r="22" spans="1:13" hidden="1" x14ac:dyDescent="0.25">
      <c r="A22" s="74" t="s">
        <v>84</v>
      </c>
      <c r="B22" s="180"/>
      <c r="C22" s="180"/>
      <c r="D22" s="180"/>
      <c r="E22" s="180"/>
      <c r="F22" s="180"/>
      <c r="G22" s="180"/>
      <c r="H22" s="180"/>
      <c r="I22" s="180"/>
      <c r="J22" s="50">
        <f t="shared" si="2"/>
        <v>0</v>
      </c>
      <c r="K22" s="50">
        <f t="shared" si="5"/>
        <v>0</v>
      </c>
      <c r="L22" s="141"/>
      <c r="M22" s="141"/>
    </row>
    <row r="23" spans="1:13" hidden="1" x14ac:dyDescent="0.25">
      <c r="A23" s="74" t="s">
        <v>85</v>
      </c>
      <c r="B23" s="180"/>
      <c r="C23" s="180"/>
      <c r="D23" s="180"/>
      <c r="E23" s="180"/>
      <c r="F23" s="180"/>
      <c r="G23" s="180"/>
      <c r="H23" s="180"/>
      <c r="I23" s="180"/>
      <c r="J23" s="50">
        <f t="shared" si="2"/>
        <v>0</v>
      </c>
      <c r="K23" s="50">
        <f t="shared" si="5"/>
        <v>0</v>
      </c>
      <c r="L23" s="141"/>
      <c r="M23" s="141"/>
    </row>
    <row r="24" spans="1:13" hidden="1" x14ac:dyDescent="0.25">
      <c r="A24" s="49" t="s">
        <v>87</v>
      </c>
      <c r="B24" s="8">
        <f t="shared" ref="B24:K24" si="8">SUM(B21:B23)</f>
        <v>0</v>
      </c>
      <c r="C24" s="8">
        <f t="shared" si="8"/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141"/>
      <c r="M24" s="141"/>
    </row>
    <row r="25" spans="1:13" hidden="1" x14ac:dyDescent="0.25">
      <c r="A25" s="52" t="s">
        <v>9</v>
      </c>
      <c r="B25" s="53">
        <f>+B12+B16+B20+B24</f>
        <v>5707</v>
      </c>
      <c r="C25" s="51">
        <f t="shared" ref="C25:K25" si="9">+C12+C16+C20+C24</f>
        <v>103876560.64</v>
      </c>
      <c r="D25" s="51">
        <f t="shared" si="9"/>
        <v>105</v>
      </c>
      <c r="E25" s="51">
        <f t="shared" si="9"/>
        <v>3078724.39</v>
      </c>
      <c r="F25" s="51">
        <f t="shared" si="9"/>
        <v>1064</v>
      </c>
      <c r="G25" s="51">
        <f t="shared" si="9"/>
        <v>12845834.289999999</v>
      </c>
      <c r="H25" s="51">
        <f t="shared" si="9"/>
        <v>921</v>
      </c>
      <c r="I25" s="51">
        <f t="shared" si="9"/>
        <v>12822501.669999998</v>
      </c>
      <c r="J25" s="51">
        <f t="shared" si="9"/>
        <v>3722</v>
      </c>
      <c r="K25" s="51">
        <f t="shared" si="9"/>
        <v>81286949.070000008</v>
      </c>
      <c r="L25" s="141"/>
      <c r="M25" s="141"/>
    </row>
    <row r="26" spans="1:13" x14ac:dyDescent="0.25">
      <c r="A26" s="150" t="s">
        <v>164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 s="15" customFormat="1" ht="11.25" x14ac:dyDescent="0.2">
      <c r="A27" s="275" t="s">
        <v>265</v>
      </c>
      <c r="B27" s="154"/>
      <c r="C27" s="154"/>
      <c r="D27" s="154"/>
      <c r="E27" s="154"/>
      <c r="F27" s="150"/>
      <c r="G27" s="150"/>
      <c r="H27" s="150"/>
      <c r="I27" s="150"/>
      <c r="J27" s="150"/>
      <c r="K27" s="150"/>
      <c r="L27" s="150"/>
      <c r="M27" s="150"/>
    </row>
    <row r="28" spans="1:13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13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13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1:13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2" spans="1:13" x14ac:dyDescent="0.25">
      <c r="B42" s="74"/>
      <c r="C42" s="180"/>
      <c r="D42" s="180"/>
      <c r="E42" s="180"/>
      <c r="F42" s="180"/>
      <c r="G42" s="180"/>
      <c r="H42" s="180"/>
      <c r="I42" s="180"/>
      <c r="J42" s="180"/>
      <c r="K42" s="50"/>
      <c r="L42" s="84"/>
    </row>
    <row r="44" spans="1:13" x14ac:dyDescent="0.25">
      <c r="B44" s="74"/>
      <c r="C44" s="180"/>
      <c r="D44" s="180"/>
      <c r="E44" s="180"/>
      <c r="F44" s="180"/>
      <c r="G44" s="180"/>
      <c r="H44" s="180"/>
      <c r="I44" s="180"/>
      <c r="J44" s="180"/>
      <c r="K44" s="50"/>
      <c r="L44" s="84"/>
    </row>
  </sheetData>
  <mergeCells count="11">
    <mergeCell ref="B7:C7"/>
    <mergeCell ref="D7:E7"/>
    <mergeCell ref="F7:G7"/>
    <mergeCell ref="H7:I7"/>
    <mergeCell ref="J7:K7"/>
    <mergeCell ref="A6:K6"/>
    <mergeCell ref="A1:K1"/>
    <mergeCell ref="A2:K2"/>
    <mergeCell ref="A3:K3"/>
    <mergeCell ref="A5:K5"/>
    <mergeCell ref="A4:K4"/>
  </mergeCells>
  <pageMargins left="0.7" right="0.7" top="0.75" bottom="0.75" header="0.3" footer="0.3"/>
  <pageSetup paperSize="9" scale="51" orientation="portrait" r:id="rId1"/>
  <ignoredErrors>
    <ignoredError sqref="J1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42578125" customWidth="1"/>
    <col min="3" max="3" width="18.140625" customWidth="1"/>
    <col min="6" max="6" width="13.7109375" bestFit="1" customWidth="1"/>
  </cols>
  <sheetData>
    <row r="5" spans="1:8" x14ac:dyDescent="0.25">
      <c r="A5" t="s">
        <v>173</v>
      </c>
    </row>
    <row r="6" spans="1:8" x14ac:dyDescent="0.25">
      <c r="A6" t="s">
        <v>174</v>
      </c>
      <c r="B6" t="s">
        <v>175</v>
      </c>
      <c r="C6" s="78">
        <v>31310</v>
      </c>
      <c r="D6" s="110">
        <v>0.2</v>
      </c>
      <c r="E6" s="78">
        <v>391848281</v>
      </c>
      <c r="F6" s="110">
        <v>0.19</v>
      </c>
    </row>
    <row r="7" spans="1:8" x14ac:dyDescent="0.25">
      <c r="A7" t="s">
        <v>41</v>
      </c>
      <c r="B7" s="78">
        <v>58606</v>
      </c>
      <c r="C7" s="110">
        <v>0.37</v>
      </c>
      <c r="D7" s="78">
        <v>502596251</v>
      </c>
      <c r="E7" s="110">
        <v>0.25</v>
      </c>
    </row>
    <row r="8" spans="1:8" x14ac:dyDescent="0.25">
      <c r="A8" t="s">
        <v>176</v>
      </c>
      <c r="B8" t="s">
        <v>177</v>
      </c>
      <c r="C8" t="s">
        <v>178</v>
      </c>
      <c r="D8">
        <v>280</v>
      </c>
      <c r="E8" s="111">
        <v>2E-3</v>
      </c>
      <c r="F8" s="78">
        <v>4723136</v>
      </c>
      <c r="G8" s="111">
        <v>2E-3</v>
      </c>
    </row>
    <row r="9" spans="1:8" x14ac:dyDescent="0.25">
      <c r="A9" t="s">
        <v>179</v>
      </c>
      <c r="B9" t="s">
        <v>180</v>
      </c>
      <c r="C9" t="s">
        <v>181</v>
      </c>
      <c r="D9" t="s">
        <v>182</v>
      </c>
      <c r="E9">
        <v>164</v>
      </c>
      <c r="F9" s="111">
        <v>1E-3</v>
      </c>
      <c r="G9" s="78">
        <v>4627394</v>
      </c>
      <c r="H9" s="111">
        <v>2E-3</v>
      </c>
    </row>
    <row r="10" spans="1:8" x14ac:dyDescent="0.25">
      <c r="A10" t="s">
        <v>183</v>
      </c>
      <c r="B10" t="s">
        <v>184</v>
      </c>
      <c r="C10">
        <v>311</v>
      </c>
      <c r="D10" s="111">
        <v>2E-3</v>
      </c>
      <c r="E10" s="78">
        <v>8307901</v>
      </c>
      <c r="F10" s="111">
        <v>4.0000000000000001E-3</v>
      </c>
    </row>
    <row r="11" spans="1:8" x14ac:dyDescent="0.25">
      <c r="A11" t="s">
        <v>183</v>
      </c>
      <c r="B11" t="s">
        <v>185</v>
      </c>
      <c r="C11" s="78">
        <v>19019</v>
      </c>
      <c r="D11" s="110">
        <v>0.12</v>
      </c>
      <c r="E11" s="78">
        <v>425653300</v>
      </c>
      <c r="F11" s="110">
        <v>0.21</v>
      </c>
    </row>
    <row r="12" spans="1:8" x14ac:dyDescent="0.25">
      <c r="A12" t="s">
        <v>186</v>
      </c>
      <c r="B12" t="s">
        <v>187</v>
      </c>
      <c r="C12" s="78">
        <v>21131</v>
      </c>
      <c r="D12" s="110">
        <v>0.13</v>
      </c>
      <c r="E12" s="78">
        <v>448771667</v>
      </c>
      <c r="F12" s="110">
        <v>0.22</v>
      </c>
    </row>
    <row r="13" spans="1:8" x14ac:dyDescent="0.25">
      <c r="A13" t="s">
        <v>174</v>
      </c>
      <c r="B13" t="s">
        <v>188</v>
      </c>
      <c r="C13" s="78">
        <v>10163</v>
      </c>
      <c r="D13" s="110">
        <v>0.06</v>
      </c>
      <c r="E13" s="78">
        <v>60978000</v>
      </c>
      <c r="F13" s="110">
        <v>0.03</v>
      </c>
    </row>
    <row r="14" spans="1:8" x14ac:dyDescent="0.25">
      <c r="A14" t="s">
        <v>189</v>
      </c>
      <c r="B14" t="s">
        <v>190</v>
      </c>
      <c r="C14" t="s">
        <v>191</v>
      </c>
      <c r="D14" s="78">
        <v>16719</v>
      </c>
      <c r="E14" s="110">
        <v>0.11</v>
      </c>
      <c r="F14" s="78">
        <v>171659274</v>
      </c>
      <c r="G14" s="110">
        <v>0.09</v>
      </c>
    </row>
    <row r="17" spans="1:7" x14ac:dyDescent="0.25">
      <c r="A17" t="s">
        <v>56</v>
      </c>
      <c r="B17" t="s">
        <v>192</v>
      </c>
      <c r="C17" t="s">
        <v>39</v>
      </c>
      <c r="D17" t="s">
        <v>140</v>
      </c>
      <c r="E17" t="s">
        <v>39</v>
      </c>
    </row>
    <row r="18" spans="1:7" x14ac:dyDescent="0.25">
      <c r="A18" t="s">
        <v>193</v>
      </c>
      <c r="B18" t="s">
        <v>194</v>
      </c>
      <c r="C18" t="s">
        <v>195</v>
      </c>
      <c r="D18">
        <v>42</v>
      </c>
      <c r="E18" s="111">
        <v>2.9999999999999997E-4</v>
      </c>
      <c r="F18" s="112">
        <v>167356.85</v>
      </c>
      <c r="G18" s="110">
        <v>0</v>
      </c>
    </row>
    <row r="19" spans="1:7" x14ac:dyDescent="0.25">
      <c r="A19" t="s">
        <v>196</v>
      </c>
      <c r="B19" t="s">
        <v>197</v>
      </c>
      <c r="C19" t="s">
        <v>198</v>
      </c>
      <c r="D19">
        <v>1</v>
      </c>
      <c r="E19" s="111">
        <v>0</v>
      </c>
      <c r="F19" s="112">
        <v>5117.5</v>
      </c>
      <c r="G19" s="110">
        <v>0</v>
      </c>
    </row>
    <row r="20" spans="1:7" x14ac:dyDescent="0.25">
      <c r="A20" s="112">
        <v>5117.5</v>
      </c>
      <c r="B20" t="s">
        <v>199</v>
      </c>
      <c r="C20" s="112">
        <v>10000</v>
      </c>
      <c r="D20" s="78">
        <v>93522</v>
      </c>
      <c r="E20" s="111">
        <v>0.73980000000000001</v>
      </c>
      <c r="F20" s="112">
        <v>750253033.45000005</v>
      </c>
      <c r="G20" s="110">
        <v>0.5</v>
      </c>
    </row>
    <row r="21" spans="1:7" x14ac:dyDescent="0.25">
      <c r="A21" s="112">
        <v>10000</v>
      </c>
      <c r="B21" t="s">
        <v>199</v>
      </c>
      <c r="C21" s="112">
        <v>20000</v>
      </c>
      <c r="D21" s="78">
        <v>18138</v>
      </c>
      <c r="E21" s="111">
        <v>0.14349999999999999</v>
      </c>
      <c r="F21" s="112">
        <v>227429836.90000001</v>
      </c>
      <c r="G21" s="110">
        <v>0.15</v>
      </c>
    </row>
    <row r="22" spans="1:7" x14ac:dyDescent="0.25">
      <c r="A22" s="112">
        <v>20000</v>
      </c>
      <c r="B22" t="s">
        <v>199</v>
      </c>
      <c r="C22" s="112">
        <v>30000</v>
      </c>
      <c r="D22" s="78">
        <v>6578</v>
      </c>
      <c r="E22" s="111">
        <v>5.1999999999999998E-2</v>
      </c>
      <c r="F22" s="112">
        <v>161421192.27000001</v>
      </c>
      <c r="G22" s="110">
        <v>0.11</v>
      </c>
    </row>
    <row r="23" spans="1:7" x14ac:dyDescent="0.25">
      <c r="A23" s="112">
        <v>30000</v>
      </c>
      <c r="B23" t="s">
        <v>199</v>
      </c>
      <c r="C23" s="112">
        <v>40000</v>
      </c>
      <c r="D23" s="78">
        <v>3651</v>
      </c>
      <c r="E23" s="111">
        <v>2.8899999999999999E-2</v>
      </c>
      <c r="F23" s="112">
        <v>122505219.92</v>
      </c>
      <c r="G23" s="110">
        <v>0.08</v>
      </c>
    </row>
    <row r="24" spans="1:7" x14ac:dyDescent="0.25">
      <c r="A24" s="112">
        <v>40000</v>
      </c>
      <c r="B24" t="s">
        <v>199</v>
      </c>
      <c r="C24" s="112">
        <v>50000</v>
      </c>
      <c r="D24" s="78">
        <v>2228</v>
      </c>
      <c r="E24" s="111">
        <v>1.7600000000000001E-2</v>
      </c>
      <c r="F24" s="112">
        <v>96897867.079999998</v>
      </c>
      <c r="G24" s="110">
        <v>0.06</v>
      </c>
    </row>
    <row r="25" spans="1:7" x14ac:dyDescent="0.25">
      <c r="A25" s="112">
        <v>50000</v>
      </c>
      <c r="B25" t="s">
        <v>199</v>
      </c>
      <c r="C25" s="112">
        <v>60000</v>
      </c>
      <c r="D25" s="78">
        <v>1212</v>
      </c>
      <c r="E25" s="111">
        <v>9.5999999999999992E-3</v>
      </c>
      <c r="F25" s="112">
        <v>63870772.049999997</v>
      </c>
      <c r="G25" s="110">
        <v>0.04</v>
      </c>
    </row>
    <row r="26" spans="1:7" x14ac:dyDescent="0.25">
      <c r="A26" s="112">
        <v>60000</v>
      </c>
      <c r="B26" t="s">
        <v>199</v>
      </c>
      <c r="C26" s="112">
        <v>70000</v>
      </c>
      <c r="D26">
        <v>256</v>
      </c>
      <c r="E26" s="111">
        <v>2E-3</v>
      </c>
      <c r="F26" s="112">
        <v>15987935.460000001</v>
      </c>
      <c r="G26" s="110">
        <v>0.01</v>
      </c>
    </row>
    <row r="27" spans="1:7" x14ac:dyDescent="0.25">
      <c r="A27" s="112">
        <v>70000</v>
      </c>
      <c r="B27" t="s">
        <v>199</v>
      </c>
      <c r="C27" s="112">
        <v>80000</v>
      </c>
      <c r="D27">
        <v>185</v>
      </c>
      <c r="E27" s="111">
        <v>1.5E-3</v>
      </c>
      <c r="F27" s="112">
        <v>13603340.310000001</v>
      </c>
      <c r="G27" s="110">
        <v>0.01</v>
      </c>
    </row>
    <row r="28" spans="1:7" x14ac:dyDescent="0.25">
      <c r="A28" s="112">
        <v>80000</v>
      </c>
      <c r="B28" t="s">
        <v>199</v>
      </c>
      <c r="C28" s="112">
        <v>90000</v>
      </c>
      <c r="D28">
        <v>246</v>
      </c>
      <c r="E28" s="111">
        <v>1.9E-3</v>
      </c>
      <c r="F28" s="112">
        <v>20637258.829999998</v>
      </c>
      <c r="G28" s="110">
        <v>0.01</v>
      </c>
    </row>
    <row r="29" spans="1:7" x14ac:dyDescent="0.25">
      <c r="A29" s="112">
        <v>90000</v>
      </c>
      <c r="B29" t="s">
        <v>199</v>
      </c>
      <c r="C29" s="112">
        <v>100000</v>
      </c>
      <c r="D29">
        <v>300</v>
      </c>
      <c r="E29" s="111">
        <v>2.3999999999999998E-3</v>
      </c>
      <c r="F29" s="112">
        <v>28790914.350000001</v>
      </c>
      <c r="G29" s="110">
        <v>0.02</v>
      </c>
    </row>
    <row r="30" spans="1:7" x14ac:dyDescent="0.25">
      <c r="A30" t="s">
        <v>60</v>
      </c>
      <c r="B30">
        <v>50</v>
      </c>
      <c r="C30" s="111">
        <v>4.0000000000000002E-4</v>
      </c>
      <c r="D30" s="112">
        <v>7845693.5999999996</v>
      </c>
      <c r="E30" s="110">
        <v>0.01</v>
      </c>
    </row>
    <row r="32" spans="1:7" x14ac:dyDescent="0.25">
      <c r="A32" t="s">
        <v>56</v>
      </c>
      <c r="B32" t="s">
        <v>192</v>
      </c>
      <c r="C32" t="s">
        <v>39</v>
      </c>
      <c r="D32" t="s">
        <v>140</v>
      </c>
      <c r="E32" t="s">
        <v>39</v>
      </c>
    </row>
    <row r="33" spans="1:7" x14ac:dyDescent="0.25">
      <c r="A33" t="s">
        <v>102</v>
      </c>
      <c r="B33">
        <v>8</v>
      </c>
      <c r="C33" s="111">
        <v>1E-4</v>
      </c>
      <c r="D33" s="78">
        <v>120807</v>
      </c>
      <c r="E33" s="111">
        <v>1E-4</v>
      </c>
    </row>
    <row r="34" spans="1:7" x14ac:dyDescent="0.25">
      <c r="A34" t="s">
        <v>103</v>
      </c>
      <c r="B34">
        <v>105</v>
      </c>
      <c r="C34" s="111">
        <v>8.9999999999999998E-4</v>
      </c>
      <c r="D34" s="78">
        <v>1623898</v>
      </c>
      <c r="E34" s="111">
        <v>1.1000000000000001E-3</v>
      </c>
    </row>
    <row r="35" spans="1:7" x14ac:dyDescent="0.25">
      <c r="A35" t="s">
        <v>104</v>
      </c>
      <c r="B35">
        <v>662</v>
      </c>
      <c r="C35" s="111">
        <v>5.7999999999999996E-3</v>
      </c>
      <c r="D35" s="78">
        <v>8844351</v>
      </c>
      <c r="E35" s="111">
        <v>5.8999999999999999E-3</v>
      </c>
    </row>
    <row r="36" spans="1:7" x14ac:dyDescent="0.25">
      <c r="A36" t="s">
        <v>105</v>
      </c>
      <c r="B36" s="78">
        <v>3613</v>
      </c>
      <c r="C36" s="111">
        <v>3.1699999999999999E-2</v>
      </c>
      <c r="D36" s="78">
        <v>58835635</v>
      </c>
      <c r="E36" s="111">
        <v>3.9E-2</v>
      </c>
    </row>
    <row r="37" spans="1:7" x14ac:dyDescent="0.25">
      <c r="A37" t="s">
        <v>106</v>
      </c>
      <c r="B37" s="78">
        <v>37680</v>
      </c>
      <c r="C37" s="111">
        <v>0.3306</v>
      </c>
      <c r="D37" s="78">
        <v>525796423</v>
      </c>
      <c r="E37" s="111">
        <v>0.3483</v>
      </c>
    </row>
    <row r="38" spans="1:7" x14ac:dyDescent="0.25">
      <c r="A38" t="s">
        <v>107</v>
      </c>
      <c r="B38" s="78">
        <v>44491</v>
      </c>
      <c r="C38" s="111">
        <v>0.39040000000000002</v>
      </c>
      <c r="D38" s="78">
        <v>593494378</v>
      </c>
      <c r="E38" s="111">
        <v>0.39319999999999999</v>
      </c>
    </row>
    <row r="39" spans="1:7" x14ac:dyDescent="0.25">
      <c r="A39" t="s">
        <v>108</v>
      </c>
      <c r="B39" s="78">
        <v>22199</v>
      </c>
      <c r="C39" s="111">
        <v>0.1948</v>
      </c>
      <c r="D39" s="78">
        <v>263071212</v>
      </c>
      <c r="E39" s="111">
        <v>0.17430000000000001</v>
      </c>
    </row>
    <row r="40" spans="1:7" x14ac:dyDescent="0.25">
      <c r="A40" t="s">
        <v>109</v>
      </c>
      <c r="B40" s="78">
        <v>4787</v>
      </c>
      <c r="C40" s="111">
        <v>4.2000000000000003E-2</v>
      </c>
      <c r="D40" s="78">
        <v>53293459</v>
      </c>
      <c r="E40" s="111">
        <v>3.5299999999999998E-2</v>
      </c>
    </row>
    <row r="41" spans="1:7" x14ac:dyDescent="0.25">
      <c r="A41">
        <v>100</v>
      </c>
      <c r="B41">
        <v>273</v>
      </c>
      <c r="C41" s="111">
        <v>2.3999999999999998E-3</v>
      </c>
      <c r="D41" s="78">
        <v>3036509</v>
      </c>
      <c r="E41" s="111">
        <v>2E-3</v>
      </c>
    </row>
    <row r="42" spans="1:7" x14ac:dyDescent="0.25">
      <c r="A42">
        <v>0</v>
      </c>
      <c r="B42">
        <v>148</v>
      </c>
      <c r="C42" s="111">
        <v>1.2999999999999999E-3</v>
      </c>
      <c r="D42" s="78">
        <v>1202867</v>
      </c>
      <c r="E42" s="111">
        <v>8.0000000000000004E-4</v>
      </c>
    </row>
    <row r="43" spans="1:7" x14ac:dyDescent="0.25">
      <c r="A43" t="s">
        <v>200</v>
      </c>
      <c r="B43" t="s">
        <v>201</v>
      </c>
      <c r="C43" s="118">
        <v>1</v>
      </c>
      <c r="D43">
        <v>11</v>
      </c>
      <c r="E43" s="111">
        <v>1E-4</v>
      </c>
      <c r="F43" s="78">
        <v>96000</v>
      </c>
      <c r="G43" s="111">
        <v>1E-4</v>
      </c>
    </row>
    <row r="60" spans="1:4" ht="1.5" customHeight="1" thickBot="1" x14ac:dyDescent="0.3"/>
    <row r="61" spans="1:4" ht="31.5" customHeight="1" x14ac:dyDescent="0.25">
      <c r="A61" s="360" t="s">
        <v>205</v>
      </c>
      <c r="B61" s="361"/>
      <c r="C61" s="361"/>
      <c r="D61" s="362"/>
    </row>
    <row r="62" spans="1:4" x14ac:dyDescent="0.25">
      <c r="A62" s="124" t="s">
        <v>57</v>
      </c>
      <c r="B62" s="125" t="s">
        <v>39</v>
      </c>
      <c r="C62" s="126" t="s">
        <v>18</v>
      </c>
      <c r="D62" s="127" t="s">
        <v>39</v>
      </c>
    </row>
    <row r="63" spans="1:4" x14ac:dyDescent="0.25">
      <c r="A63" s="100">
        <v>31137</v>
      </c>
      <c r="B63" s="81">
        <f>A63/$F$18</f>
        <v>0.18605154195959114</v>
      </c>
      <c r="C63" s="55">
        <v>395798200.03000003</v>
      </c>
      <c r="D63" s="101">
        <f>C63/C72</f>
        <v>0.19391687100775967</v>
      </c>
    </row>
    <row r="64" spans="1:4" x14ac:dyDescent="0.25">
      <c r="A64" s="100">
        <v>59538</v>
      </c>
      <c r="B64" s="81">
        <f t="shared" ref="B64:B71" si="0">A64/$F$18</f>
        <v>0.35575478386453857</v>
      </c>
      <c r="C64" s="55">
        <v>514655292.12</v>
      </c>
      <c r="D64" s="101">
        <f>C64/C72</f>
        <v>0.25214956482351464</v>
      </c>
    </row>
    <row r="65" spans="1:4" x14ac:dyDescent="0.25">
      <c r="A65" s="100">
        <v>272</v>
      </c>
      <c r="B65" s="83">
        <f t="shared" si="0"/>
        <v>1.6252695960756909E-3</v>
      </c>
      <c r="C65" s="55">
        <v>4588034.25</v>
      </c>
      <c r="D65" s="102">
        <f>C65/C72</f>
        <v>2.2478557147783836E-3</v>
      </c>
    </row>
    <row r="66" spans="1:4" x14ac:dyDescent="0.25">
      <c r="A66" s="100">
        <v>165</v>
      </c>
      <c r="B66" s="83">
        <f t="shared" si="0"/>
        <v>9.8591721820768022E-4</v>
      </c>
      <c r="C66" s="55">
        <v>4769926.3500000006</v>
      </c>
      <c r="D66" s="102">
        <f>C66/C72</f>
        <v>2.3369717008802837E-3</v>
      </c>
    </row>
    <row r="67" spans="1:4" x14ac:dyDescent="0.25">
      <c r="A67" s="100">
        <v>291</v>
      </c>
      <c r="B67" s="83">
        <f t="shared" si="0"/>
        <v>1.7387994575662723E-3</v>
      </c>
      <c r="C67" s="55">
        <v>7859081.6799999997</v>
      </c>
      <c r="D67" s="102">
        <f>C67/C72</f>
        <v>3.8504685677309622E-3</v>
      </c>
    </row>
    <row r="68" spans="1:4" x14ac:dyDescent="0.25">
      <c r="A68" s="100">
        <v>18719</v>
      </c>
      <c r="B68" s="81">
        <f t="shared" si="0"/>
        <v>0.11185081459169433</v>
      </c>
      <c r="C68" s="55">
        <v>422264407.25999999</v>
      </c>
      <c r="D68" s="101">
        <f>C68/C72</f>
        <v>0.20688369120324193</v>
      </c>
    </row>
    <row r="69" spans="1:4" x14ac:dyDescent="0.25">
      <c r="A69" s="100">
        <v>21144</v>
      </c>
      <c r="B69" s="81">
        <f t="shared" si="0"/>
        <v>0.12634081007141326</v>
      </c>
      <c r="C69" s="55">
        <v>451598843.05000001</v>
      </c>
      <c r="D69" s="101">
        <f>C69/C72</f>
        <v>0.22125576768247726</v>
      </c>
    </row>
    <row r="70" spans="1:4" x14ac:dyDescent="0.25">
      <c r="A70" s="100">
        <v>9753</v>
      </c>
      <c r="B70" s="81">
        <f t="shared" si="0"/>
        <v>5.8276670479875788E-2</v>
      </c>
      <c r="C70" s="55">
        <v>58518000</v>
      </c>
      <c r="D70" s="101">
        <f>C70/C72</f>
        <v>2.8670235126819606E-2</v>
      </c>
    </row>
    <row r="71" spans="1:4" x14ac:dyDescent="0.25">
      <c r="A71" s="100">
        <v>17481</v>
      </c>
      <c r="B71" s="81">
        <f t="shared" si="0"/>
        <v>0.10445344782720277</v>
      </c>
      <c r="C71" s="55">
        <v>181019721.69</v>
      </c>
      <c r="D71" s="101">
        <f>C71/C72</f>
        <v>8.8688574172797213E-2</v>
      </c>
    </row>
    <row r="72" spans="1:4" ht="15.75" thickBot="1" x14ac:dyDescent="0.3">
      <c r="A72" s="103">
        <f t="shared" ref="A72:D72" si="1">SUM(A63:A71)</f>
        <v>158500</v>
      </c>
      <c r="B72" s="104">
        <f t="shared" si="1"/>
        <v>0.9470780550661656</v>
      </c>
      <c r="C72" s="105">
        <f t="shared" si="1"/>
        <v>2041071506.4300001</v>
      </c>
      <c r="D72" s="106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AA69"/>
  <sheetViews>
    <sheetView showGridLines="0" tabSelected="1" topLeftCell="A40" zoomScaleNormal="100" workbookViewId="0">
      <selection activeCell="C12" sqref="C12"/>
    </sheetView>
  </sheetViews>
  <sheetFormatPr baseColWidth="10" defaultColWidth="11.42578125" defaultRowHeight="15" x14ac:dyDescent="0.25"/>
  <cols>
    <col min="1" max="1" width="27.7109375" style="1" customWidth="1"/>
    <col min="2" max="2" width="13.42578125" style="1" customWidth="1"/>
    <col min="3" max="3" width="15.7109375" style="1" customWidth="1"/>
    <col min="4" max="4" width="17.7109375" style="1" bestFit="1" customWidth="1"/>
    <col min="5" max="5" width="11.42578125" style="1"/>
    <col min="6" max="6" width="13.42578125" style="1" customWidth="1"/>
    <col min="7" max="7" width="15.7109375" style="1" customWidth="1"/>
    <col min="8" max="8" width="18.42578125" style="1" bestFit="1" customWidth="1"/>
    <col min="9" max="9" width="11.42578125" style="1"/>
    <col min="10" max="11" width="11.42578125" style="1" bestFit="1" customWidth="1"/>
    <col min="12" max="12" width="17.140625" style="1" bestFit="1" customWidth="1"/>
    <col min="13" max="13" width="13" style="1" customWidth="1"/>
    <col min="14" max="14" width="16" style="1" customWidth="1"/>
    <col min="15" max="15" width="12.140625" style="1" customWidth="1"/>
    <col min="16" max="16" width="15.140625" style="1" customWidth="1"/>
    <col min="17" max="17" width="11.42578125" style="1" customWidth="1"/>
    <col min="18" max="19" width="15.7109375" style="1" customWidth="1"/>
    <col min="20" max="20" width="18.42578125" style="1" bestFit="1" customWidth="1"/>
    <col min="21" max="21" width="19.7109375" style="1" customWidth="1"/>
    <col min="22" max="22" width="11.42578125" style="1"/>
    <col min="23" max="23" width="13.7109375" style="1" bestFit="1" customWidth="1"/>
    <col min="24" max="16384" width="11.42578125" style="1"/>
  </cols>
  <sheetData>
    <row r="1" spans="1:27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2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</row>
    <row r="4" spans="1:27" x14ac:dyDescent="0.2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</row>
    <row r="5" spans="1:27" x14ac:dyDescent="0.2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ht="15.75" customHeight="1" thickBot="1" x14ac:dyDescent="0.3">
      <c r="A6" s="370" t="s">
        <v>37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139"/>
      <c r="O6" s="139"/>
      <c r="P6" s="139"/>
      <c r="Q6" s="141"/>
      <c r="R6" s="141"/>
      <c r="S6" s="141"/>
    </row>
    <row r="7" spans="1:27" ht="31.5" customHeight="1" x14ac:dyDescent="0.25">
      <c r="A7" s="181"/>
      <c r="B7" s="366" t="s">
        <v>243</v>
      </c>
      <c r="C7" s="363"/>
      <c r="D7" s="363"/>
      <c r="E7" s="367"/>
      <c r="F7" s="366" t="s">
        <v>244</v>
      </c>
      <c r="G7" s="363"/>
      <c r="H7" s="363"/>
      <c r="I7" s="367"/>
      <c r="J7" s="366" t="s">
        <v>136</v>
      </c>
      <c r="K7" s="363"/>
      <c r="L7" s="363"/>
      <c r="M7" s="367"/>
      <c r="N7" s="182"/>
      <c r="O7" s="182"/>
      <c r="P7" s="182"/>
      <c r="Q7" s="183"/>
      <c r="R7" s="183"/>
      <c r="S7" s="183"/>
    </row>
    <row r="8" spans="1:27" ht="45" x14ac:dyDescent="0.25">
      <c r="A8" s="115" t="s">
        <v>38</v>
      </c>
      <c r="B8" s="184" t="s">
        <v>57</v>
      </c>
      <c r="C8" s="125" t="s">
        <v>39</v>
      </c>
      <c r="D8" s="125" t="s">
        <v>18</v>
      </c>
      <c r="E8" s="127" t="s">
        <v>39</v>
      </c>
      <c r="F8" s="184" t="s">
        <v>57</v>
      </c>
      <c r="G8" s="125" t="s">
        <v>39</v>
      </c>
      <c r="H8" s="125" t="s">
        <v>18</v>
      </c>
      <c r="I8" s="127" t="s">
        <v>39</v>
      </c>
      <c r="J8" s="185" t="s">
        <v>202</v>
      </c>
      <c r="K8" s="128" t="s">
        <v>204</v>
      </c>
      <c r="L8" s="128" t="s">
        <v>203</v>
      </c>
      <c r="M8" s="129" t="s">
        <v>204</v>
      </c>
      <c r="N8" s="141"/>
      <c r="O8" s="141"/>
      <c r="P8" s="141"/>
      <c r="Q8" s="141"/>
      <c r="R8" s="141"/>
      <c r="S8" s="141"/>
    </row>
    <row r="9" spans="1:27" x14ac:dyDescent="0.25">
      <c r="A9" s="107" t="s">
        <v>40</v>
      </c>
      <c r="B9" s="100">
        <v>31115</v>
      </c>
      <c r="C9" s="81">
        <f>B9/$B$18</f>
        <v>0.19442378949867842</v>
      </c>
      <c r="D9" s="266">
        <v>1222409043.4400001</v>
      </c>
      <c r="E9" s="81">
        <f>D9/D18</f>
        <v>0.19005688580483049</v>
      </c>
      <c r="F9" s="186">
        <v>31540</v>
      </c>
      <c r="G9" s="81">
        <f>F9/$F$18</f>
        <v>0.17245998807981058</v>
      </c>
      <c r="H9" s="187">
        <v>1438741068.9300001</v>
      </c>
      <c r="I9" s="101">
        <f>H9/H18</f>
        <v>0.17469569224983134</v>
      </c>
      <c r="J9" s="186">
        <f>+F9-B9</f>
        <v>425</v>
      </c>
      <c r="K9" s="90">
        <f>+(F9-B9)/B9</f>
        <v>1.3659006909850554E-2</v>
      </c>
      <c r="L9" s="187">
        <f>+H9-D9</f>
        <v>216332025.49000001</v>
      </c>
      <c r="M9" s="116">
        <f>+(H9-D9)/D9</f>
        <v>0.17697187913565882</v>
      </c>
      <c r="N9" s="141"/>
      <c r="O9" s="141"/>
      <c r="P9" s="141"/>
      <c r="Q9" s="141"/>
      <c r="R9" s="141"/>
      <c r="S9" s="141"/>
    </row>
    <row r="10" spans="1:27" x14ac:dyDescent="0.25">
      <c r="A10" s="108" t="s">
        <v>41</v>
      </c>
      <c r="B10" s="100">
        <v>59812</v>
      </c>
      <c r="C10" s="81">
        <f t="shared" ref="C10:C17" si="0">B10/$B$18</f>
        <v>0.37373857295500418</v>
      </c>
      <c r="D10" s="266">
        <v>1560320516.73</v>
      </c>
      <c r="E10" s="81">
        <f>D10/D18</f>
        <v>0.24259445711605893</v>
      </c>
      <c r="F10" s="186">
        <v>63816</v>
      </c>
      <c r="G10" s="81">
        <f t="shared" ref="G10:G17" si="1">F10/$F$18</f>
        <v>0.34894440707993635</v>
      </c>
      <c r="H10" s="187">
        <v>1966938030.1700001</v>
      </c>
      <c r="I10" s="101">
        <f>H10/H18</f>
        <v>0.2388307446096723</v>
      </c>
      <c r="J10" s="186">
        <f t="shared" ref="J10:J18" si="2">+F10-B10</f>
        <v>4004</v>
      </c>
      <c r="K10" s="90">
        <f t="shared" ref="K10:K18" si="3">+(F10-B10)/B10</f>
        <v>6.6943088343476231E-2</v>
      </c>
      <c r="L10" s="187">
        <f t="shared" ref="L10:L18" si="4">+H10-D10</f>
        <v>406617513.44000006</v>
      </c>
      <c r="M10" s="116">
        <f t="shared" ref="M10:M18" si="5">+(H10-D10)/D10</f>
        <v>0.26059870973955906</v>
      </c>
      <c r="N10" s="141"/>
      <c r="O10" s="141"/>
      <c r="P10" s="141"/>
      <c r="Q10" s="141"/>
      <c r="R10" s="141"/>
      <c r="S10" s="141"/>
    </row>
    <row r="11" spans="1:27" x14ac:dyDescent="0.25">
      <c r="A11" s="108" t="s">
        <v>42</v>
      </c>
      <c r="B11" s="100">
        <v>271</v>
      </c>
      <c r="C11" s="83">
        <f t="shared" si="0"/>
        <v>1.6933584108674868E-3</v>
      </c>
      <c r="D11" s="266">
        <v>13780990.5</v>
      </c>
      <c r="E11" s="83">
        <f>D11/D18</f>
        <v>2.1426315125788837E-3</v>
      </c>
      <c r="F11" s="186">
        <v>255</v>
      </c>
      <c r="G11" s="83">
        <f t="shared" si="1"/>
        <v>1.3943340824461542E-3</v>
      </c>
      <c r="H11" s="187">
        <v>12970378.5</v>
      </c>
      <c r="I11" s="102">
        <f>H11/H18</f>
        <v>1.574897179021218E-3</v>
      </c>
      <c r="J11" s="186">
        <f t="shared" si="2"/>
        <v>-16</v>
      </c>
      <c r="K11" s="90">
        <f t="shared" si="3"/>
        <v>-5.9040590405904057E-2</v>
      </c>
      <c r="L11" s="187">
        <f t="shared" si="4"/>
        <v>-810612</v>
      </c>
      <c r="M11" s="116">
        <f t="shared" si="5"/>
        <v>-5.8821025963264398E-2</v>
      </c>
      <c r="N11" s="141"/>
      <c r="O11" s="141"/>
      <c r="P11" s="141"/>
      <c r="Q11" s="141"/>
      <c r="R11" s="141"/>
      <c r="S11" s="141"/>
    </row>
    <row r="12" spans="1:27" x14ac:dyDescent="0.25">
      <c r="A12" s="108" t="s">
        <v>117</v>
      </c>
      <c r="B12" s="100">
        <v>158</v>
      </c>
      <c r="C12" s="83">
        <f t="shared" si="0"/>
        <v>9.8727169342089651E-4</v>
      </c>
      <c r="D12" s="266">
        <v>14034454.629999999</v>
      </c>
      <c r="E12" s="83">
        <f>D12/D18</f>
        <v>2.1820394370126455E-3</v>
      </c>
      <c r="F12" s="186">
        <v>153</v>
      </c>
      <c r="G12" s="83">
        <f t="shared" si="1"/>
        <v>8.3660044946769251E-4</v>
      </c>
      <c r="H12" s="187">
        <v>13596751.940000001</v>
      </c>
      <c r="I12" s="102">
        <f>H12/H18</f>
        <v>1.6509530754370257E-3</v>
      </c>
      <c r="J12" s="186">
        <f t="shared" si="2"/>
        <v>-5</v>
      </c>
      <c r="K12" s="90">
        <f t="shared" si="3"/>
        <v>-3.1645569620253167E-2</v>
      </c>
      <c r="L12" s="187">
        <f t="shared" si="4"/>
        <v>-437702.68999999762</v>
      </c>
      <c r="M12" s="116">
        <f t="shared" si="5"/>
        <v>-3.1187723466244707E-2</v>
      </c>
      <c r="N12" s="141"/>
      <c r="O12" s="141"/>
      <c r="P12" s="141"/>
      <c r="Q12" s="141"/>
      <c r="R12" s="141"/>
      <c r="S12" s="141"/>
    </row>
    <row r="13" spans="1:27" x14ac:dyDescent="0.25">
      <c r="A13" s="108" t="s">
        <v>43</v>
      </c>
      <c r="B13" s="100">
        <v>277</v>
      </c>
      <c r="C13" s="83">
        <f>B13/$B$18</f>
        <v>1.7308497409973943E-3</v>
      </c>
      <c r="D13" s="266">
        <v>23057423.100000001</v>
      </c>
      <c r="E13" s="83">
        <f>D13/D18</f>
        <v>3.584906421125847E-3</v>
      </c>
      <c r="F13" s="186">
        <v>249</v>
      </c>
      <c r="G13" s="83">
        <f t="shared" si="1"/>
        <v>1.3615262216827152E-3</v>
      </c>
      <c r="H13" s="187">
        <v>22631800.439999998</v>
      </c>
      <c r="I13" s="102">
        <f>H13/H18</f>
        <v>2.7480122240940894E-3</v>
      </c>
      <c r="J13" s="186">
        <f t="shared" si="2"/>
        <v>-28</v>
      </c>
      <c r="K13" s="90">
        <f t="shared" si="3"/>
        <v>-0.10108303249097472</v>
      </c>
      <c r="L13" s="187">
        <f t="shared" si="4"/>
        <v>-425622.66000000387</v>
      </c>
      <c r="M13" s="116">
        <f t="shared" si="5"/>
        <v>-1.8459246644955907E-2</v>
      </c>
      <c r="N13" s="141"/>
      <c r="O13" s="141"/>
      <c r="P13" s="141"/>
      <c r="Q13" s="141"/>
      <c r="R13" s="141"/>
      <c r="S13" s="141"/>
    </row>
    <row r="14" spans="1:27" x14ac:dyDescent="0.25">
      <c r="A14" s="108" t="s">
        <v>44</v>
      </c>
      <c r="B14" s="100">
        <v>19491</v>
      </c>
      <c r="C14" s="81">
        <f t="shared" si="0"/>
        <v>0.12179058592700438</v>
      </c>
      <c r="D14" s="266">
        <v>1486475380.6199999</v>
      </c>
      <c r="E14" s="81">
        <f>D14/D18</f>
        <v>0.23111321302986909</v>
      </c>
      <c r="F14" s="186">
        <v>25099</v>
      </c>
      <c r="G14" s="81">
        <f t="shared" si="1"/>
        <v>0.13724074955025892</v>
      </c>
      <c r="H14" s="187">
        <v>1966768225.4200001</v>
      </c>
      <c r="I14" s="101">
        <f>H14/H18</f>
        <v>0.23881012647414454</v>
      </c>
      <c r="J14" s="186">
        <f t="shared" si="2"/>
        <v>5608</v>
      </c>
      <c r="K14" s="90">
        <f t="shared" si="3"/>
        <v>0.28772253860756247</v>
      </c>
      <c r="L14" s="187">
        <f>+H14-D14</f>
        <v>480292844.80000019</v>
      </c>
      <c r="M14" s="116">
        <f t="shared" si="5"/>
        <v>0.32310850960725157</v>
      </c>
      <c r="N14" s="141"/>
      <c r="O14" s="141"/>
      <c r="P14" s="141"/>
      <c r="Q14" s="141"/>
      <c r="R14" s="141"/>
      <c r="S14" s="141"/>
    </row>
    <row r="15" spans="1:27" x14ac:dyDescent="0.25">
      <c r="A15" s="108" t="s">
        <v>143</v>
      </c>
      <c r="B15" s="100">
        <v>21426</v>
      </c>
      <c r="C15" s="81">
        <f t="shared" si="0"/>
        <v>0.13388153989389953</v>
      </c>
      <c r="D15" s="266">
        <v>1385871549.24</v>
      </c>
      <c r="E15" s="81">
        <f>D15/D18</f>
        <v>0.21547159863350476</v>
      </c>
      <c r="F15" s="186">
        <v>23673</v>
      </c>
      <c r="G15" s="81">
        <f t="shared" si="1"/>
        <v>0.12944341464214826</v>
      </c>
      <c r="H15" s="187">
        <v>1786142966.5600002</v>
      </c>
      <c r="I15" s="101">
        <f>H15/H18</f>
        <v>0.2168781365450464</v>
      </c>
      <c r="J15" s="186">
        <f t="shared" si="2"/>
        <v>2247</v>
      </c>
      <c r="K15" s="90">
        <f t="shared" si="3"/>
        <v>0.10487258471016522</v>
      </c>
      <c r="L15" s="187">
        <f t="shared" si="4"/>
        <v>400271417.32000017</v>
      </c>
      <c r="M15" s="116">
        <f t="shared" si="5"/>
        <v>0.28882288372216425</v>
      </c>
      <c r="N15" s="141"/>
      <c r="O15" s="141"/>
      <c r="P15" s="141"/>
      <c r="Q15" s="141"/>
      <c r="R15" s="141"/>
      <c r="S15" s="141"/>
    </row>
    <row r="16" spans="1:27" x14ac:dyDescent="0.25">
      <c r="A16" s="108" t="s">
        <v>144</v>
      </c>
      <c r="B16" s="100">
        <v>9773</v>
      </c>
      <c r="C16" s="81">
        <f t="shared" si="0"/>
        <v>6.10671282265976E-2</v>
      </c>
      <c r="D16" s="266">
        <v>175836000</v>
      </c>
      <c r="E16" s="81">
        <f>D16/D18</f>
        <v>2.7338510584258846E-2</v>
      </c>
      <c r="F16" s="186">
        <v>19447</v>
      </c>
      <c r="G16" s="81">
        <f t="shared" si="1"/>
        <v>0.10633574471109945</v>
      </c>
      <c r="H16" s="187">
        <v>343668000</v>
      </c>
      <c r="I16" s="101">
        <f>H16/H18</f>
        <v>4.1729064708471222E-2</v>
      </c>
      <c r="J16" s="186">
        <f t="shared" si="2"/>
        <v>9674</v>
      </c>
      <c r="K16" s="90">
        <f t="shared" si="3"/>
        <v>0.98987005013813567</v>
      </c>
      <c r="L16" s="187">
        <f t="shared" si="4"/>
        <v>167832000</v>
      </c>
      <c r="M16" s="116">
        <f t="shared" si="5"/>
        <v>0.95448031119907184</v>
      </c>
      <c r="N16" s="141"/>
      <c r="O16" s="141"/>
      <c r="P16" s="141"/>
      <c r="Q16" s="141"/>
      <c r="R16" s="141"/>
      <c r="S16" s="141"/>
    </row>
    <row r="17" spans="1:27" x14ac:dyDescent="0.25">
      <c r="A17" s="108" t="s">
        <v>45</v>
      </c>
      <c r="B17" s="100">
        <v>17714</v>
      </c>
      <c r="C17" s="81">
        <f t="shared" si="0"/>
        <v>0.11068690365353012</v>
      </c>
      <c r="D17" s="266">
        <v>550020773.17000008</v>
      </c>
      <c r="E17" s="81">
        <f>D17/D18</f>
        <v>8.5515757460760483E-2</v>
      </c>
      <c r="F17" s="186">
        <v>18651</v>
      </c>
      <c r="G17" s="81">
        <f t="shared" si="1"/>
        <v>0.10198323518314989</v>
      </c>
      <c r="H17" s="187">
        <v>684241382.86000001</v>
      </c>
      <c r="I17" s="101">
        <f>H17/H18</f>
        <v>8.3082372934281848E-2</v>
      </c>
      <c r="J17" s="186">
        <f t="shared" si="2"/>
        <v>937</v>
      </c>
      <c r="K17" s="90">
        <f t="shared" si="3"/>
        <v>5.2896014451845996E-2</v>
      </c>
      <c r="L17" s="187">
        <f t="shared" si="4"/>
        <v>134220609.68999994</v>
      </c>
      <c r="M17" s="116">
        <f t="shared" si="5"/>
        <v>0.24402825536284811</v>
      </c>
      <c r="N17" s="141"/>
      <c r="O17" s="141"/>
      <c r="P17" s="141"/>
      <c r="Q17" s="141"/>
      <c r="R17" s="141"/>
      <c r="S17" s="141"/>
    </row>
    <row r="18" spans="1:27" ht="15.75" thickBot="1" x14ac:dyDescent="0.3">
      <c r="A18" s="109" t="s">
        <v>46</v>
      </c>
      <c r="B18" s="103">
        <f t="shared" ref="B18:I18" si="6">SUM(B9:B17)</f>
        <v>160037</v>
      </c>
      <c r="C18" s="104">
        <f t="shared" si="6"/>
        <v>1</v>
      </c>
      <c r="D18" s="105">
        <f t="shared" si="6"/>
        <v>6431806131.4300003</v>
      </c>
      <c r="E18" s="106">
        <f t="shared" si="6"/>
        <v>1</v>
      </c>
      <c r="F18" s="103">
        <f t="shared" si="6"/>
        <v>182883</v>
      </c>
      <c r="G18" s="104">
        <f t="shared" si="6"/>
        <v>0.99999999999999989</v>
      </c>
      <c r="H18" s="317">
        <f t="shared" si="6"/>
        <v>8235698604.8200006</v>
      </c>
      <c r="I18" s="106">
        <f t="shared" si="6"/>
        <v>1</v>
      </c>
      <c r="J18" s="103">
        <f t="shared" si="2"/>
        <v>22846</v>
      </c>
      <c r="K18" s="104">
        <f t="shared" si="3"/>
        <v>0.1427544880246443</v>
      </c>
      <c r="L18" s="105">
        <f t="shared" si="4"/>
        <v>1803892473.3900003</v>
      </c>
      <c r="M18" s="106">
        <f t="shared" si="5"/>
        <v>0.28046437291929632</v>
      </c>
      <c r="N18" s="188"/>
      <c r="O18" s="141"/>
      <c r="P18" s="141"/>
      <c r="Q18" s="141"/>
      <c r="R18" s="141"/>
      <c r="S18" s="141"/>
    </row>
    <row r="19" spans="1:27" ht="14.25" customHeight="1" x14ac:dyDescent="0.25">
      <c r="A19" s="368" t="s">
        <v>145</v>
      </c>
      <c r="B19" s="368"/>
      <c r="C19" s="368"/>
      <c r="D19" s="368"/>
      <c r="E19" s="368"/>
      <c r="F19" s="368"/>
      <c r="G19" s="368"/>
      <c r="H19" s="368"/>
      <c r="I19" s="368"/>
      <c r="J19" s="189"/>
      <c r="K19" s="189"/>
      <c r="L19" s="189"/>
      <c r="M19" s="189"/>
      <c r="N19" s="214"/>
      <c r="O19" s="214"/>
      <c r="P19" s="214"/>
      <c r="Q19" s="214"/>
      <c r="R19" s="189"/>
      <c r="S19" s="189"/>
      <c r="T19" s="189"/>
      <c r="U19" s="189"/>
      <c r="V19" s="141"/>
      <c r="W19" s="141"/>
      <c r="X19" s="141"/>
      <c r="Y19" s="141"/>
      <c r="Z19" s="141"/>
      <c r="AA19" s="141"/>
    </row>
    <row r="20" spans="1:27" x14ac:dyDescent="0.25">
      <c r="A20" s="15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1:27" x14ac:dyDescent="0.25">
      <c r="A21" s="141"/>
      <c r="B21" s="313"/>
      <c r="C21" s="45"/>
      <c r="D21" s="45"/>
      <c r="E21" s="45"/>
      <c r="F21" s="45"/>
      <c r="G21" s="45"/>
      <c r="H21" s="45"/>
      <c r="I21" s="45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1:27" x14ac:dyDescent="0.25">
      <c r="A22" s="141"/>
      <c r="B22" s="313"/>
      <c r="C22" s="314"/>
      <c r="D22" s="45"/>
      <c r="E22" s="45"/>
      <c r="F22" s="314"/>
      <c r="G22" s="45"/>
      <c r="H22" s="45"/>
      <c r="I22" s="45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1:27" x14ac:dyDescent="0.25">
      <c r="A23" s="141"/>
      <c r="B23" s="313"/>
      <c r="C23" s="45"/>
      <c r="D23" s="45"/>
      <c r="E23" s="45"/>
      <c r="F23" s="45"/>
      <c r="G23" s="45"/>
      <c r="H23" s="313"/>
      <c r="I23" s="45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1:27" x14ac:dyDescent="0.25">
      <c r="A24" s="141"/>
      <c r="B24" s="34"/>
      <c r="C24" s="45"/>
      <c r="D24" s="313"/>
      <c r="E24" s="45"/>
      <c r="F24" s="315"/>
      <c r="G24" s="45"/>
      <c r="H24" s="195"/>
      <c r="I24" s="45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1:27" x14ac:dyDescent="0.25">
      <c r="A25" s="141"/>
      <c r="B25" s="141"/>
      <c r="C25" s="45"/>
      <c r="D25" s="45"/>
      <c r="E25" s="45"/>
      <c r="F25" s="187"/>
      <c r="G25" s="315"/>
      <c r="H25" s="45"/>
      <c r="I25" s="45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1:27" x14ac:dyDescent="0.25">
      <c r="A26" s="141"/>
      <c r="B26" s="34"/>
      <c r="C26" s="45"/>
      <c r="D26" s="315"/>
      <c r="E26" s="134"/>
      <c r="F26" s="134"/>
      <c r="G26" s="315"/>
      <c r="H26" s="134"/>
      <c r="I26" s="45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1:27" x14ac:dyDescent="0.25">
      <c r="A27" s="141"/>
      <c r="B27" s="141"/>
      <c r="C27" s="141"/>
      <c r="D27" s="141"/>
      <c r="E27" s="141"/>
      <c r="F27" s="141"/>
      <c r="G27" s="202"/>
      <c r="H27" s="15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1:27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1:27" ht="15.75" thickBot="1" x14ac:dyDescent="0.3">
      <c r="A29" s="265" t="s">
        <v>55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141"/>
      <c r="O29" s="141"/>
      <c r="P29" s="141"/>
      <c r="Q29" s="141"/>
      <c r="R29" s="141"/>
    </row>
    <row r="30" spans="1:27" ht="34.5" customHeight="1" x14ac:dyDescent="0.25">
      <c r="A30" s="181"/>
      <c r="B30" s="366" t="s">
        <v>243</v>
      </c>
      <c r="C30" s="363"/>
      <c r="D30" s="363"/>
      <c r="E30" s="367"/>
      <c r="F30" s="366" t="s">
        <v>244</v>
      </c>
      <c r="G30" s="363"/>
      <c r="H30" s="363"/>
      <c r="I30" s="367"/>
      <c r="J30" s="363" t="s">
        <v>136</v>
      </c>
      <c r="K30" s="364"/>
      <c r="L30" s="364"/>
      <c r="M30" s="365"/>
      <c r="N30" s="141"/>
      <c r="O30" s="141"/>
      <c r="P30" s="141"/>
      <c r="Q30" s="141"/>
      <c r="R30" s="141"/>
      <c r="S30" s="141"/>
    </row>
    <row r="31" spans="1:27" ht="45" x14ac:dyDescent="0.25">
      <c r="A31" s="113" t="s">
        <v>56</v>
      </c>
      <c r="B31" s="190" t="s">
        <v>139</v>
      </c>
      <c r="C31" s="58" t="s">
        <v>39</v>
      </c>
      <c r="D31" s="58" t="s">
        <v>140</v>
      </c>
      <c r="E31" s="99" t="s">
        <v>39</v>
      </c>
      <c r="F31" s="58" t="s">
        <v>139</v>
      </c>
      <c r="G31" s="58" t="s">
        <v>39</v>
      </c>
      <c r="H31" s="58" t="s">
        <v>140</v>
      </c>
      <c r="I31" s="99" t="s">
        <v>39</v>
      </c>
      <c r="J31" s="128" t="s">
        <v>202</v>
      </c>
      <c r="K31" s="128" t="s">
        <v>204</v>
      </c>
      <c r="L31" s="128" t="s">
        <v>203</v>
      </c>
      <c r="M31" s="129" t="s">
        <v>204</v>
      </c>
      <c r="N31" s="141"/>
      <c r="O31" s="141"/>
      <c r="P31" s="141"/>
      <c r="Q31" s="141"/>
      <c r="R31" s="141"/>
      <c r="S31" s="141"/>
    </row>
    <row r="32" spans="1:27" x14ac:dyDescent="0.25">
      <c r="A32" s="114" t="s">
        <v>58</v>
      </c>
      <c r="B32" s="229">
        <v>42</v>
      </c>
      <c r="C32" s="90">
        <f>B32/$B$45</f>
        <v>3.0300625491483358E-4</v>
      </c>
      <c r="D32" s="194">
        <v>518449.58999999997</v>
      </c>
      <c r="E32" s="130">
        <f>D32/D45</f>
        <v>1.027459990920029E-4</v>
      </c>
      <c r="F32" s="191">
        <v>38</v>
      </c>
      <c r="G32" s="90">
        <f>F32/$F$45</f>
        <v>2.386784749701652E-4</v>
      </c>
      <c r="H32" s="191">
        <v>544379.04</v>
      </c>
      <c r="I32" s="116">
        <f>H32/H45</f>
        <v>8.4405666147081401E-5</v>
      </c>
      <c r="J32" s="187">
        <f>+F32-B32</f>
        <v>-4</v>
      </c>
      <c r="K32" s="90">
        <f>+(F32-B32)/B32</f>
        <v>-9.5238095238095233E-2</v>
      </c>
      <c r="L32" s="187">
        <f>+H32-D32</f>
        <v>25929.45000000007</v>
      </c>
      <c r="M32" s="130">
        <f>+(H32-D32)/D32</f>
        <v>5.0013444894420826E-2</v>
      </c>
      <c r="N32" s="141"/>
      <c r="O32" s="141"/>
      <c r="P32" s="141"/>
      <c r="Q32" s="141"/>
      <c r="R32" s="141"/>
      <c r="S32" s="141"/>
    </row>
    <row r="33" spans="1:27" s="54" customFormat="1" x14ac:dyDescent="0.25">
      <c r="A33" s="114" t="s">
        <v>59</v>
      </c>
      <c r="B33" s="229">
        <v>1</v>
      </c>
      <c r="C33" s="90">
        <f t="shared" ref="C33:C44" si="7">B33/$B$45</f>
        <v>7.2144346408293717E-6</v>
      </c>
      <c r="D33" s="194">
        <v>15352.5</v>
      </c>
      <c r="E33" s="130">
        <f>D33/D45</f>
        <v>3.0425483624357281E-6</v>
      </c>
      <c r="F33" s="191">
        <v>1</v>
      </c>
      <c r="G33" s="92">
        <f>F33/$F$45</f>
        <v>6.2810124992148738E-6</v>
      </c>
      <c r="H33" s="191">
        <v>15352.5</v>
      </c>
      <c r="I33" s="117">
        <f>H33/H45</f>
        <v>2.3803965514966688E-6</v>
      </c>
      <c r="J33" s="187">
        <f t="shared" ref="J33:J45" si="8">+F33-B33</f>
        <v>0</v>
      </c>
      <c r="K33" s="90">
        <f t="shared" ref="K33:K45" si="9">+(F33-B33)/B33</f>
        <v>0</v>
      </c>
      <c r="L33" s="187">
        <f>+H33-D33</f>
        <v>0</v>
      </c>
      <c r="M33" s="130">
        <f t="shared" ref="M33:M45" si="10">+(H33-D33)/D33</f>
        <v>0</v>
      </c>
      <c r="N33" s="183"/>
      <c r="O33" s="183"/>
      <c r="P33" s="183"/>
      <c r="Q33" s="183"/>
      <c r="R33" s="183"/>
      <c r="S33" s="183"/>
    </row>
    <row r="34" spans="1:27" x14ac:dyDescent="0.25">
      <c r="A34" s="115" t="s">
        <v>93</v>
      </c>
      <c r="B34" s="233">
        <v>100541</v>
      </c>
      <c r="C34" s="90">
        <f t="shared" si="7"/>
        <v>0.72534647322362578</v>
      </c>
      <c r="D34" s="195">
        <v>2368218740.3500004</v>
      </c>
      <c r="E34" s="130">
        <f>D34/D45</f>
        <v>0.46933203389294881</v>
      </c>
      <c r="F34" s="191">
        <v>19467</v>
      </c>
      <c r="G34" s="90">
        <f>F34/$F$45</f>
        <v>0.12227247032221594</v>
      </c>
      <c r="H34" s="191">
        <v>344129997.75</v>
      </c>
      <c r="I34" s="101">
        <f>H34/H45</f>
        <v>5.3357163973988361E-2</v>
      </c>
      <c r="J34" s="187">
        <f t="shared" si="8"/>
        <v>-81074</v>
      </c>
      <c r="K34" s="90">
        <f t="shared" si="9"/>
        <v>-0.80637749773724154</v>
      </c>
      <c r="L34" s="187">
        <f t="shared" ref="L34:L45" si="11">+H34-D34</f>
        <v>-2024088742.6000004</v>
      </c>
      <c r="M34" s="130">
        <f t="shared" si="10"/>
        <v>-0.8546882549797149</v>
      </c>
      <c r="N34" s="141"/>
      <c r="O34" s="141"/>
      <c r="P34" s="141"/>
      <c r="Q34" s="141"/>
      <c r="R34" s="141"/>
      <c r="S34" s="141"/>
    </row>
    <row r="35" spans="1:27" x14ac:dyDescent="0.25">
      <c r="A35" s="115" t="s">
        <v>92</v>
      </c>
      <c r="B35" s="229">
        <v>22135</v>
      </c>
      <c r="C35" s="90">
        <f t="shared" si="7"/>
        <v>0.15969151077475813</v>
      </c>
      <c r="D35" s="194">
        <v>792980471.26999998</v>
      </c>
      <c r="E35" s="130">
        <f>D35/D45</f>
        <v>0.15715234875792544</v>
      </c>
      <c r="F35" s="191">
        <v>118883</v>
      </c>
      <c r="G35" s="90">
        <f t="shared" ref="G35:G44" si="12">F35/$F$45</f>
        <v>0.74670560894416182</v>
      </c>
      <c r="H35" s="191">
        <v>3686150611.2000003</v>
      </c>
      <c r="I35" s="101">
        <f>H35/H45</f>
        <v>0.57153559375983176</v>
      </c>
      <c r="J35" s="187">
        <f t="shared" si="8"/>
        <v>96748</v>
      </c>
      <c r="K35" s="90">
        <f t="shared" si="9"/>
        <v>4.3708154506437769</v>
      </c>
      <c r="L35" s="187">
        <f t="shared" si="11"/>
        <v>2893170139.9300003</v>
      </c>
      <c r="M35" s="130">
        <f t="shared" si="10"/>
        <v>3.6484759016781787</v>
      </c>
      <c r="N35" s="141"/>
      <c r="O35" s="141"/>
      <c r="P35" s="141"/>
      <c r="Q35" s="141"/>
      <c r="R35" s="141"/>
      <c r="S35" s="141"/>
    </row>
    <row r="36" spans="1:27" ht="15" customHeight="1" x14ac:dyDescent="0.25">
      <c r="A36" s="115" t="s">
        <v>94</v>
      </c>
      <c r="B36" s="229">
        <v>6458</v>
      </c>
      <c r="C36" s="90">
        <f t="shared" si="7"/>
        <v>4.6590818910476083E-2</v>
      </c>
      <c r="D36" s="194">
        <v>476030574.31000006</v>
      </c>
      <c r="E36" s="130">
        <f>D36/D45</f>
        <v>9.4339426434537049E-2</v>
      </c>
      <c r="F36" s="191">
        <v>8553</v>
      </c>
      <c r="G36" s="90">
        <f t="shared" si="12"/>
        <v>5.3721499905784814E-2</v>
      </c>
      <c r="H36" s="191">
        <v>595173463.59000003</v>
      </c>
      <c r="I36" s="101">
        <f>H36/H45</f>
        <v>9.2281313158896872E-2</v>
      </c>
      <c r="J36" s="187">
        <f t="shared" si="8"/>
        <v>2095</v>
      </c>
      <c r="K36" s="90">
        <f t="shared" si="9"/>
        <v>0.32440384019820379</v>
      </c>
      <c r="L36" s="187">
        <f t="shared" si="11"/>
        <v>119142889.27999997</v>
      </c>
      <c r="M36" s="130">
        <f t="shared" si="10"/>
        <v>0.2502841113781315</v>
      </c>
      <c r="N36" s="141"/>
      <c r="O36" s="141"/>
      <c r="P36" s="141"/>
      <c r="Q36" s="141"/>
      <c r="R36" s="141"/>
      <c r="S36" s="141"/>
    </row>
    <row r="37" spans="1:27" x14ac:dyDescent="0.25">
      <c r="A37" s="115" t="s">
        <v>95</v>
      </c>
      <c r="B37" s="229">
        <v>3494</v>
      </c>
      <c r="C37" s="90">
        <f t="shared" si="7"/>
        <v>2.5207234635057824E-2</v>
      </c>
      <c r="D37" s="194">
        <v>350981643.21000004</v>
      </c>
      <c r="E37" s="130">
        <f>D37/D45</f>
        <v>6.9557311434202032E-2</v>
      </c>
      <c r="F37" s="191">
        <v>4653</v>
      </c>
      <c r="G37" s="90">
        <f t="shared" si="12"/>
        <v>2.9225551158846806E-2</v>
      </c>
      <c r="H37" s="191">
        <v>459487651.31000006</v>
      </c>
      <c r="I37" s="101">
        <f>H37/H45</f>
        <v>7.1243303737738337E-2</v>
      </c>
      <c r="J37" s="187">
        <f t="shared" si="8"/>
        <v>1159</v>
      </c>
      <c r="K37" s="90">
        <f t="shared" si="9"/>
        <v>0.33171150543789352</v>
      </c>
      <c r="L37" s="187">
        <f t="shared" si="11"/>
        <v>108506008.10000002</v>
      </c>
      <c r="M37" s="130">
        <f t="shared" si="10"/>
        <v>0.30915009431156631</v>
      </c>
      <c r="N37" s="141"/>
      <c r="O37" s="141"/>
      <c r="P37" s="141"/>
      <c r="Q37" s="141"/>
      <c r="R37" s="141"/>
      <c r="S37" s="141"/>
    </row>
    <row r="38" spans="1:27" x14ac:dyDescent="0.25">
      <c r="A38" s="115" t="s">
        <v>96</v>
      </c>
      <c r="B38" s="229">
        <v>1927</v>
      </c>
      <c r="C38" s="90">
        <f t="shared" si="7"/>
        <v>1.3902215552878199E-2</v>
      </c>
      <c r="D38" s="194">
        <v>247671532.23000002</v>
      </c>
      <c r="E38" s="130">
        <f>D38/D45</f>
        <v>4.9083381521467788E-2</v>
      </c>
      <c r="F38" s="191">
        <v>2126</v>
      </c>
      <c r="G38" s="90">
        <f t="shared" si="12"/>
        <v>1.335343257333082E-2</v>
      </c>
      <c r="H38" s="191">
        <v>270463521.93000001</v>
      </c>
      <c r="I38" s="101">
        <f>H38/H45</f>
        <v>4.193521803665954E-2</v>
      </c>
      <c r="J38" s="187">
        <f t="shared" si="8"/>
        <v>199</v>
      </c>
      <c r="K38" s="90">
        <f t="shared" si="9"/>
        <v>0.10326933056564608</v>
      </c>
      <c r="L38" s="187">
        <f t="shared" si="11"/>
        <v>22791989.699999988</v>
      </c>
      <c r="M38" s="130">
        <f t="shared" si="10"/>
        <v>9.2025068423423895E-2</v>
      </c>
      <c r="N38" s="141"/>
      <c r="O38" s="141"/>
      <c r="P38" s="141"/>
      <c r="Q38" s="141"/>
      <c r="R38" s="141"/>
      <c r="S38" s="141"/>
    </row>
    <row r="39" spans="1:27" x14ac:dyDescent="0.25">
      <c r="A39" s="115" t="s">
        <v>97</v>
      </c>
      <c r="B39" s="229">
        <v>2054</v>
      </c>
      <c r="C39" s="90">
        <f t="shared" si="7"/>
        <v>1.4818448752263529E-2</v>
      </c>
      <c r="D39" s="194">
        <v>319678702.56</v>
      </c>
      <c r="E39" s="130">
        <f>D39/D45</f>
        <v>6.3353715224198429E-2</v>
      </c>
      <c r="F39" s="191">
        <v>2821</v>
      </c>
      <c r="G39" s="90">
        <f t="shared" si="12"/>
        <v>1.7718736260285157E-2</v>
      </c>
      <c r="H39" s="191">
        <v>429165665.95000005</v>
      </c>
      <c r="I39" s="101">
        <f>H39/H45</f>
        <v>6.6541896840784973E-2</v>
      </c>
      <c r="J39" s="187">
        <f t="shared" si="8"/>
        <v>767</v>
      </c>
      <c r="K39" s="90">
        <f t="shared" si="9"/>
        <v>0.37341772151898733</v>
      </c>
      <c r="L39" s="187">
        <f t="shared" si="11"/>
        <v>109486963.39000005</v>
      </c>
      <c r="M39" s="130">
        <f t="shared" si="10"/>
        <v>0.34249063986191136</v>
      </c>
      <c r="N39" s="141"/>
      <c r="O39" s="141"/>
      <c r="P39" s="141"/>
      <c r="Q39" s="141"/>
      <c r="R39" s="141"/>
      <c r="S39" s="141"/>
    </row>
    <row r="40" spans="1:27" x14ac:dyDescent="0.25">
      <c r="A40" s="115" t="s">
        <v>98</v>
      </c>
      <c r="B40" s="229">
        <v>658</v>
      </c>
      <c r="C40" s="90">
        <f t="shared" si="7"/>
        <v>4.7470979936657266E-3</v>
      </c>
      <c r="D40" s="194">
        <v>124092472.21000001</v>
      </c>
      <c r="E40" s="130">
        <f>D40/D45</f>
        <v>2.4592564605968842E-2</v>
      </c>
      <c r="F40" s="191">
        <v>912</v>
      </c>
      <c r="G40" s="90">
        <f t="shared" si="12"/>
        <v>5.7282833992839642E-3</v>
      </c>
      <c r="H40" s="191">
        <v>173412191.73000002</v>
      </c>
      <c r="I40" s="101">
        <f>H40/H45</f>
        <v>2.6887463486830885E-2</v>
      </c>
      <c r="J40" s="187">
        <f t="shared" si="8"/>
        <v>254</v>
      </c>
      <c r="K40" s="90">
        <f t="shared" si="9"/>
        <v>0.3860182370820669</v>
      </c>
      <c r="L40" s="187">
        <f t="shared" si="11"/>
        <v>49319719.520000011</v>
      </c>
      <c r="M40" s="130">
        <f t="shared" si="10"/>
        <v>0.3974432827523729</v>
      </c>
      <c r="N40" s="141"/>
      <c r="O40" s="141"/>
      <c r="P40" s="141"/>
      <c r="Q40" s="141"/>
      <c r="R40" s="141"/>
      <c r="S40" s="141"/>
    </row>
    <row r="41" spans="1:27" ht="15" customHeight="1" x14ac:dyDescent="0.25">
      <c r="A41" s="115" t="s">
        <v>99</v>
      </c>
      <c r="B41" s="229">
        <v>342</v>
      </c>
      <c r="C41" s="90">
        <f t="shared" si="7"/>
        <v>2.4673366471636448E-3</v>
      </c>
      <c r="D41" s="194">
        <v>72787888.969999999</v>
      </c>
      <c r="E41" s="130">
        <f>D41/D45</f>
        <v>1.442505600982427E-2</v>
      </c>
      <c r="F41" s="191">
        <v>462</v>
      </c>
      <c r="G41" s="90">
        <f t="shared" si="12"/>
        <v>2.9018277746372715E-3</v>
      </c>
      <c r="H41" s="191">
        <v>97557008.310000002</v>
      </c>
      <c r="I41" s="101">
        <f>H41/H45</f>
        <v>1.5126159658391522E-2</v>
      </c>
      <c r="J41" s="187">
        <f t="shared" si="8"/>
        <v>120</v>
      </c>
      <c r="K41" s="90">
        <f t="shared" si="9"/>
        <v>0.35087719298245612</v>
      </c>
      <c r="L41" s="187">
        <f t="shared" si="11"/>
        <v>24769119.340000004</v>
      </c>
      <c r="M41" s="130">
        <f t="shared" si="10"/>
        <v>0.3402917668103928</v>
      </c>
      <c r="N41" s="141"/>
      <c r="O41" s="141"/>
      <c r="P41" s="141"/>
      <c r="Q41" s="141"/>
      <c r="R41" s="141"/>
      <c r="S41" s="141"/>
    </row>
    <row r="42" spans="1:27" x14ac:dyDescent="0.25">
      <c r="A42" s="115" t="s">
        <v>100</v>
      </c>
      <c r="B42" s="229">
        <v>338</v>
      </c>
      <c r="C42" s="90">
        <f t="shared" si="7"/>
        <v>2.4384789086003274E-3</v>
      </c>
      <c r="D42" s="194">
        <v>83354851.930000007</v>
      </c>
      <c r="E42" s="130">
        <f>D42/D45</f>
        <v>1.6519209786073547E-2</v>
      </c>
      <c r="F42" s="191">
        <v>501</v>
      </c>
      <c r="G42" s="90">
        <f t="shared" si="12"/>
        <v>3.1467872621066518E-3</v>
      </c>
      <c r="H42" s="191">
        <v>119899270.41000001</v>
      </c>
      <c r="I42" s="101">
        <f>H42/H45</f>
        <v>1.859031492010621E-2</v>
      </c>
      <c r="J42" s="187">
        <f t="shared" si="8"/>
        <v>163</v>
      </c>
      <c r="K42" s="90">
        <f t="shared" si="9"/>
        <v>0.48224852071005919</v>
      </c>
      <c r="L42" s="187">
        <f t="shared" si="11"/>
        <v>36544418.480000004</v>
      </c>
      <c r="M42" s="130">
        <f t="shared" si="10"/>
        <v>0.43841981161083926</v>
      </c>
      <c r="N42" s="141"/>
      <c r="O42" s="141"/>
      <c r="P42" s="141"/>
      <c r="Q42" s="141"/>
      <c r="R42" s="141"/>
      <c r="S42" s="141"/>
    </row>
    <row r="43" spans="1:27" x14ac:dyDescent="0.25">
      <c r="A43" s="115" t="s">
        <v>101</v>
      </c>
      <c r="B43" s="229">
        <v>313</v>
      </c>
      <c r="C43" s="90">
        <f t="shared" si="7"/>
        <v>2.2581180425795934E-3</v>
      </c>
      <c r="D43" s="194">
        <v>90077595.140000001</v>
      </c>
      <c r="E43" s="130">
        <f>D43/D45</f>
        <v>1.7851518618163524E-2</v>
      </c>
      <c r="F43" s="191">
        <v>354</v>
      </c>
      <c r="G43" s="90">
        <f t="shared" si="12"/>
        <v>2.2234784247220653E-3</v>
      </c>
      <c r="H43" s="191">
        <v>97722541.780000001</v>
      </c>
      <c r="I43" s="101">
        <f>H43/H45</f>
        <v>1.5151825530473938E-2</v>
      </c>
      <c r="J43" s="187">
        <f t="shared" si="8"/>
        <v>41</v>
      </c>
      <c r="K43" s="90">
        <f t="shared" si="9"/>
        <v>0.13099041533546327</v>
      </c>
      <c r="L43" s="187">
        <f t="shared" si="11"/>
        <v>7644946.6400000006</v>
      </c>
      <c r="M43" s="130">
        <f t="shared" si="10"/>
        <v>8.487067875333601E-2</v>
      </c>
      <c r="N43" s="141"/>
      <c r="O43" s="141"/>
      <c r="P43" s="141"/>
      <c r="Q43" s="141"/>
      <c r="R43" s="141"/>
      <c r="S43" s="141"/>
    </row>
    <row r="44" spans="1:27" x14ac:dyDescent="0.25">
      <c r="A44" s="115" t="s">
        <v>60</v>
      </c>
      <c r="B44" s="229">
        <v>308</v>
      </c>
      <c r="C44" s="90">
        <f t="shared" si="7"/>
        <v>2.2220458693754464E-3</v>
      </c>
      <c r="D44" s="194">
        <v>119526307.91999999</v>
      </c>
      <c r="E44" s="130">
        <f>D44/D45</f>
        <v>2.3687645167235601E-2</v>
      </c>
      <c r="F44" s="191">
        <v>439</v>
      </c>
      <c r="G44" s="90">
        <f t="shared" si="12"/>
        <v>2.7573644871553295E-3</v>
      </c>
      <c r="H44" s="191">
        <v>175833982.76000002</v>
      </c>
      <c r="I44" s="102">
        <f>H44/H45</f>
        <v>2.7262960833599005E-2</v>
      </c>
      <c r="J44" s="187">
        <f t="shared" si="8"/>
        <v>131</v>
      </c>
      <c r="K44" s="90">
        <f t="shared" si="9"/>
        <v>0.42532467532467533</v>
      </c>
      <c r="L44" s="187">
        <f t="shared" si="11"/>
        <v>56307674.840000033</v>
      </c>
      <c r="M44" s="130">
        <f t="shared" si="10"/>
        <v>0.47109022122299016</v>
      </c>
      <c r="N44" s="141"/>
      <c r="O44" s="141"/>
      <c r="P44" s="141"/>
      <c r="Q44" s="141"/>
      <c r="R44" s="141"/>
      <c r="S44" s="141"/>
    </row>
    <row r="45" spans="1:27" ht="15.75" thickBot="1" x14ac:dyDescent="0.3">
      <c r="A45" s="109" t="s">
        <v>46</v>
      </c>
      <c r="B45" s="103">
        <f t="shared" ref="B45:I45" si="13">SUM(B32:B44)</f>
        <v>138611</v>
      </c>
      <c r="C45" s="104">
        <f t="shared" si="13"/>
        <v>0.99999999999999989</v>
      </c>
      <c r="D45" s="105">
        <f>SUM(D32:D44)</f>
        <v>5045934582.1900015</v>
      </c>
      <c r="E45" s="106">
        <f t="shared" si="13"/>
        <v>0.99999999999999978</v>
      </c>
      <c r="F45" s="317">
        <f t="shared" si="13"/>
        <v>159210</v>
      </c>
      <c r="G45" s="104">
        <f t="shared" si="13"/>
        <v>1</v>
      </c>
      <c r="H45" s="317">
        <f>SUM(H32:H44)</f>
        <v>6449555638.2600002</v>
      </c>
      <c r="I45" s="106">
        <f t="shared" si="13"/>
        <v>0.99999999999999989</v>
      </c>
      <c r="J45" s="105">
        <f t="shared" si="8"/>
        <v>20599</v>
      </c>
      <c r="K45" s="104">
        <f t="shared" si="9"/>
        <v>0.14861013916644422</v>
      </c>
      <c r="L45" s="105">
        <f t="shared" si="11"/>
        <v>1403621056.0699987</v>
      </c>
      <c r="M45" s="106">
        <f t="shared" si="10"/>
        <v>0.27816869862407312</v>
      </c>
      <c r="N45" s="141"/>
      <c r="O45" s="151"/>
      <c r="P45" s="151"/>
      <c r="Q45" s="141"/>
      <c r="R45" s="141"/>
      <c r="S45" s="141"/>
    </row>
    <row r="46" spans="1:27" ht="13.5" customHeight="1" x14ac:dyDescent="0.25">
      <c r="A46" s="193" t="s">
        <v>237</v>
      </c>
      <c r="B46" s="146"/>
      <c r="C46" s="146"/>
      <c r="D46" s="146"/>
      <c r="E46" s="141"/>
      <c r="F46" s="146"/>
      <c r="G46" s="146"/>
      <c r="H46" s="146"/>
      <c r="I46" s="141"/>
      <c r="J46" s="141"/>
      <c r="K46" s="141"/>
      <c r="L46" s="141"/>
      <c r="M46" s="141"/>
      <c r="N46" s="141"/>
      <c r="O46" s="141"/>
      <c r="P46" s="141"/>
      <c r="Q46" s="141"/>
      <c r="R46" s="146"/>
      <c r="S46" s="146"/>
      <c r="T46" s="146"/>
      <c r="U46" s="141"/>
      <c r="V46" s="141"/>
      <c r="W46" s="141"/>
      <c r="X46" s="141"/>
      <c r="Y46" s="141"/>
      <c r="Z46" s="141"/>
      <c r="AA46" s="141"/>
    </row>
    <row r="47" spans="1:27" ht="13.5" customHeight="1" x14ac:dyDescent="0.25">
      <c r="A47" s="193" t="s">
        <v>238</v>
      </c>
      <c r="B47" s="146"/>
      <c r="C47" s="146"/>
      <c r="D47" s="146"/>
      <c r="E47" s="141"/>
      <c r="F47" s="146"/>
      <c r="G47" s="146"/>
      <c r="H47" s="146"/>
      <c r="I47" s="141"/>
      <c r="J47" s="141"/>
      <c r="K47" s="141"/>
      <c r="L47" s="141"/>
      <c r="M47" s="141"/>
      <c r="N47" s="141"/>
      <c r="O47" s="141"/>
      <c r="P47" s="141"/>
      <c r="Q47" s="141"/>
      <c r="R47" s="146"/>
      <c r="S47" s="146"/>
      <c r="T47" s="146"/>
      <c r="U47" s="141"/>
      <c r="V47" s="141"/>
      <c r="W47" s="141"/>
      <c r="X47" s="141"/>
      <c r="Y47" s="141"/>
      <c r="Z47" s="141"/>
      <c r="AA47" s="141"/>
    </row>
    <row r="48" spans="1:27" ht="10.5" customHeight="1" x14ac:dyDescent="0.25">
      <c r="A48" s="150" t="s">
        <v>146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51"/>
      <c r="M48" s="151"/>
      <c r="N48" s="15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1:27" x14ac:dyDescent="0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94"/>
      <c r="N49" s="197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1:27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1:27" ht="15.75" thickBot="1" x14ac:dyDescent="0.3">
      <c r="A51" s="265" t="s">
        <v>61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141"/>
      <c r="O51" s="141"/>
      <c r="P51" s="141"/>
      <c r="Q51" s="141"/>
      <c r="R51" s="141"/>
      <c r="S51" s="141"/>
    </row>
    <row r="52" spans="1:27" ht="33" customHeight="1" x14ac:dyDescent="0.25">
      <c r="A52" s="181"/>
      <c r="B52" s="366" t="s">
        <v>243</v>
      </c>
      <c r="C52" s="363"/>
      <c r="D52" s="363"/>
      <c r="E52" s="367"/>
      <c r="F52" s="366" t="s">
        <v>244</v>
      </c>
      <c r="G52" s="363"/>
      <c r="H52" s="363"/>
      <c r="I52" s="367"/>
      <c r="J52" s="366" t="s">
        <v>136</v>
      </c>
      <c r="K52" s="364"/>
      <c r="L52" s="364"/>
      <c r="M52" s="365"/>
      <c r="N52" s="141"/>
      <c r="O52" s="141"/>
      <c r="P52" s="141"/>
      <c r="Q52" s="141"/>
      <c r="R52" s="141"/>
      <c r="S52" s="141"/>
    </row>
    <row r="53" spans="1:27" ht="45" x14ac:dyDescent="0.25">
      <c r="A53" s="119" t="s">
        <v>56</v>
      </c>
      <c r="B53" s="190" t="s">
        <v>139</v>
      </c>
      <c r="C53" s="58" t="s">
        <v>39</v>
      </c>
      <c r="D53" s="58" t="s">
        <v>140</v>
      </c>
      <c r="E53" s="99" t="s">
        <v>39</v>
      </c>
      <c r="F53" s="58" t="s">
        <v>139</v>
      </c>
      <c r="G53" s="58" t="s">
        <v>39</v>
      </c>
      <c r="H53" s="58" t="s">
        <v>140</v>
      </c>
      <c r="I53" s="99" t="s">
        <v>39</v>
      </c>
      <c r="J53" s="185" t="s">
        <v>202</v>
      </c>
      <c r="K53" s="128" t="s">
        <v>204</v>
      </c>
      <c r="L53" s="128" t="s">
        <v>203</v>
      </c>
      <c r="M53" s="129" t="s">
        <v>204</v>
      </c>
      <c r="N53" s="141"/>
      <c r="O53" s="141"/>
      <c r="P53" s="141"/>
      <c r="Q53" s="141"/>
      <c r="R53" s="141"/>
      <c r="S53" s="141"/>
    </row>
    <row r="54" spans="1:27" ht="18" hidden="1" customHeight="1" x14ac:dyDescent="0.25">
      <c r="A54" s="120" t="s">
        <v>110</v>
      </c>
      <c r="B54" s="186">
        <v>0</v>
      </c>
      <c r="C54" s="91">
        <f t="shared" ref="C54" si="14">B54/$F$66</f>
        <v>0</v>
      </c>
      <c r="D54" s="194">
        <v>0</v>
      </c>
      <c r="E54" s="122">
        <f>D54/D66</f>
        <v>0</v>
      </c>
      <c r="F54" s="191">
        <v>0</v>
      </c>
      <c r="G54" s="91">
        <f t="shared" ref="G54:G65" si="15">F54/$F$66</f>
        <v>0</v>
      </c>
      <c r="H54" s="192">
        <v>0</v>
      </c>
      <c r="I54" s="122">
        <f>H54/H66</f>
        <v>0</v>
      </c>
      <c r="J54" s="186">
        <f>+F54-B54</f>
        <v>0</v>
      </c>
      <c r="K54" s="91"/>
      <c r="L54" s="194">
        <f>+H54-D54</f>
        <v>0</v>
      </c>
      <c r="M54" s="122"/>
      <c r="N54" s="141"/>
      <c r="O54" s="141"/>
      <c r="P54" s="141"/>
      <c r="Q54" s="141"/>
      <c r="R54" s="141"/>
      <c r="S54" s="141"/>
    </row>
    <row r="55" spans="1:27" ht="18" customHeight="1" x14ac:dyDescent="0.25">
      <c r="A55" s="319" t="s">
        <v>260</v>
      </c>
      <c r="B55" s="186">
        <v>0</v>
      </c>
      <c r="C55" s="90">
        <f>B55/$B$66</f>
        <v>0</v>
      </c>
      <c r="D55" s="194">
        <v>0</v>
      </c>
      <c r="E55" s="320">
        <v>0</v>
      </c>
      <c r="F55" s="191">
        <v>1</v>
      </c>
      <c r="G55" s="90">
        <f t="shared" si="15"/>
        <v>7.855336129832996E-6</v>
      </c>
      <c r="H55" s="192">
        <v>30000</v>
      </c>
      <c r="I55" s="116">
        <f>H55/H66</f>
        <v>4.9132905446896056E-6</v>
      </c>
      <c r="J55" s="186">
        <f>+F55-B55</f>
        <v>1</v>
      </c>
      <c r="K55" s="321">
        <f>J55/J66</f>
        <v>9.166743056192135E-5</v>
      </c>
      <c r="L55" s="195">
        <f>+H55-D55</f>
        <v>30000</v>
      </c>
      <c r="M55" s="116">
        <f>L55/L66</f>
        <v>2.4275987760730509E-5</v>
      </c>
      <c r="N55" s="141"/>
      <c r="O55" s="141"/>
      <c r="P55" s="141"/>
      <c r="Q55" s="141"/>
      <c r="R55" s="141"/>
      <c r="S55" s="141"/>
    </row>
    <row r="56" spans="1:27" x14ac:dyDescent="0.25">
      <c r="A56" s="114" t="s">
        <v>102</v>
      </c>
      <c r="B56" s="186">
        <v>9</v>
      </c>
      <c r="C56" s="90">
        <f>B56/$B$66</f>
        <v>7.7324237711889893E-5</v>
      </c>
      <c r="D56" s="192">
        <v>315922.05000000005</v>
      </c>
      <c r="E56" s="130">
        <f>D56/D66</f>
        <v>6.4869744352882329E-5</v>
      </c>
      <c r="F56" s="186">
        <v>8</v>
      </c>
      <c r="G56" s="90">
        <f t="shared" si="15"/>
        <v>6.2842689038663968E-5</v>
      </c>
      <c r="H56" s="191">
        <v>282922.05000000005</v>
      </c>
      <c r="I56" s="116">
        <f>H56/H66</f>
        <v>4.6335941104973332E-5</v>
      </c>
      <c r="J56" s="186">
        <f>+F56-B56</f>
        <v>-1</v>
      </c>
      <c r="K56" s="92">
        <f>+(F56-B56)/B56</f>
        <v>-0.1111111111111111</v>
      </c>
      <c r="L56" s="195">
        <f>+H56-D56</f>
        <v>-33000</v>
      </c>
      <c r="M56" s="131">
        <f>+(H56-D56)/D56</f>
        <v>-0.1044561466982124</v>
      </c>
      <c r="N56" s="141"/>
      <c r="O56" s="141"/>
      <c r="P56" s="141"/>
      <c r="Q56" s="141"/>
      <c r="R56" s="141"/>
      <c r="S56" s="141"/>
    </row>
    <row r="57" spans="1:27" x14ac:dyDescent="0.25">
      <c r="A57" s="114" t="s">
        <v>103</v>
      </c>
      <c r="B57" s="186">
        <v>67</v>
      </c>
      <c r="C57" s="90">
        <f t="shared" ref="C57:C64" si="16">B57/$B$66</f>
        <v>5.7563599185518025E-4</v>
      </c>
      <c r="D57" s="192">
        <v>3325389.4000000004</v>
      </c>
      <c r="E57" s="130">
        <f>D57/D66</f>
        <v>6.8281767686612809E-4</v>
      </c>
      <c r="F57" s="186">
        <v>78</v>
      </c>
      <c r="G57" s="90">
        <f t="shared" si="15"/>
        <v>6.1271621812697364E-4</v>
      </c>
      <c r="H57" s="191">
        <v>4200764.74</v>
      </c>
      <c r="I57" s="116">
        <f>H57/H66</f>
        <v>6.87985922583583E-4</v>
      </c>
      <c r="J57" s="186">
        <f t="shared" ref="J57:J66" si="17">+F57-B57</f>
        <v>11</v>
      </c>
      <c r="K57" s="92">
        <f t="shared" ref="K57:K66" si="18">+(F57-B57)/B57</f>
        <v>0.16417910447761194</v>
      </c>
      <c r="L57" s="195">
        <f t="shared" ref="L57:L66" si="19">+H57-D57</f>
        <v>875375.33999999985</v>
      </c>
      <c r="M57" s="131">
        <f t="shared" ref="M57:M66" si="20">+(H57-D57)/D57</f>
        <v>0.2632399501844806</v>
      </c>
      <c r="N57" s="141"/>
      <c r="O57" s="141"/>
      <c r="P57" s="141"/>
      <c r="Q57" s="141"/>
      <c r="R57" s="141"/>
      <c r="S57" s="141"/>
    </row>
    <row r="58" spans="1:27" x14ac:dyDescent="0.25">
      <c r="A58" s="114" t="s">
        <v>104</v>
      </c>
      <c r="B58" s="186">
        <v>525</v>
      </c>
      <c r="C58" s="90">
        <f t="shared" si="16"/>
        <v>4.5105805331935771E-3</v>
      </c>
      <c r="D58" s="192">
        <v>21904187.370000001</v>
      </c>
      <c r="E58" s="130">
        <f>D58/D66</f>
        <v>4.497688701847604E-3</v>
      </c>
      <c r="F58" s="186">
        <v>570</v>
      </c>
      <c r="G58" s="90">
        <f t="shared" si="15"/>
        <v>4.4775415940048078E-3</v>
      </c>
      <c r="H58" s="191">
        <v>28421745.25</v>
      </c>
      <c r="I58" s="116">
        <f>H58/H66</f>
        <v>4.6548097400133902E-3</v>
      </c>
      <c r="J58" s="186">
        <f t="shared" si="17"/>
        <v>45</v>
      </c>
      <c r="K58" s="92">
        <f t="shared" si="18"/>
        <v>8.5714285714285715E-2</v>
      </c>
      <c r="L58" s="195">
        <f t="shared" si="19"/>
        <v>6517557.879999999</v>
      </c>
      <c r="M58" s="131">
        <f t="shared" si="20"/>
        <v>0.29754849015428225</v>
      </c>
      <c r="N58" s="141"/>
      <c r="O58" s="141"/>
      <c r="P58" s="141"/>
      <c r="Q58" s="141"/>
      <c r="R58" s="141"/>
      <c r="S58" s="141"/>
    </row>
    <row r="59" spans="1:27" x14ac:dyDescent="0.25">
      <c r="A59" s="114" t="s">
        <v>105</v>
      </c>
      <c r="B59" s="186">
        <v>2667</v>
      </c>
      <c r="C59" s="90">
        <f t="shared" si="16"/>
        <v>2.2913749108623371E-2</v>
      </c>
      <c r="D59" s="192">
        <v>124725720.08</v>
      </c>
      <c r="E59" s="130">
        <f>D59/D66</f>
        <v>2.5610512390061919E-2</v>
      </c>
      <c r="F59" s="186">
        <v>3110</v>
      </c>
      <c r="G59" s="90">
        <f t="shared" si="15"/>
        <v>2.4430095363780616E-2</v>
      </c>
      <c r="H59" s="191">
        <v>169388469</v>
      </c>
      <c r="I59" s="116">
        <f>H59/H66</f>
        <v>2.7741825437238278E-2</v>
      </c>
      <c r="J59" s="186">
        <f t="shared" si="17"/>
        <v>443</v>
      </c>
      <c r="K59" s="92">
        <f t="shared" si="18"/>
        <v>0.16610423697037871</v>
      </c>
      <c r="L59" s="195">
        <f t="shared" si="19"/>
        <v>44662748.920000002</v>
      </c>
      <c r="M59" s="131">
        <f t="shared" si="20"/>
        <v>0.35808772153292029</v>
      </c>
      <c r="N59" s="141"/>
      <c r="O59" s="141"/>
      <c r="P59" s="141"/>
      <c r="Q59" s="141"/>
      <c r="R59" s="141"/>
      <c r="S59" s="141"/>
    </row>
    <row r="60" spans="1:27" x14ac:dyDescent="0.25">
      <c r="A60" s="114" t="s">
        <v>106</v>
      </c>
      <c r="B60" s="186">
        <v>33339</v>
      </c>
      <c r="C60" s="90">
        <f t="shared" si="16"/>
        <v>0.28643475123074413</v>
      </c>
      <c r="D60" s="192">
        <v>1544509419.77</v>
      </c>
      <c r="E60" s="130">
        <f>D60/D66</f>
        <v>0.31714130498677923</v>
      </c>
      <c r="F60" s="186">
        <v>42566</v>
      </c>
      <c r="G60" s="90">
        <f t="shared" si="15"/>
        <v>0.33437023770247126</v>
      </c>
      <c r="H60" s="191">
        <v>2148405590.1599998</v>
      </c>
      <c r="I60" s="116">
        <f>H60/H66</f>
        <v>0.35185802907638064</v>
      </c>
      <c r="J60" s="186">
        <f t="shared" si="17"/>
        <v>9227</v>
      </c>
      <c r="K60" s="92">
        <f t="shared" si="18"/>
        <v>0.27676295029844927</v>
      </c>
      <c r="L60" s="195">
        <f t="shared" si="19"/>
        <v>603896170.38999987</v>
      </c>
      <c r="M60" s="131">
        <f t="shared" si="20"/>
        <v>0.39099545956795062</v>
      </c>
      <c r="N60" s="141"/>
      <c r="O60" s="141"/>
      <c r="P60" s="141"/>
      <c r="Q60" s="141"/>
      <c r="R60" s="141"/>
      <c r="S60" s="141"/>
    </row>
    <row r="61" spans="1:27" x14ac:dyDescent="0.25">
      <c r="A61" s="114" t="s">
        <v>107</v>
      </c>
      <c r="B61" s="186">
        <v>47284</v>
      </c>
      <c r="C61" s="90">
        <f t="shared" si="16"/>
        <v>0.40624436177433348</v>
      </c>
      <c r="D61" s="192">
        <v>2007853225.8400002</v>
      </c>
      <c r="E61" s="130">
        <f>D61/D66</f>
        <v>0.41228184439278903</v>
      </c>
      <c r="F61" s="186">
        <v>50488</v>
      </c>
      <c r="G61" s="90">
        <f t="shared" si="15"/>
        <v>0.39660021052300826</v>
      </c>
      <c r="H61" s="191">
        <v>2452393963.54</v>
      </c>
      <c r="I61" s="116">
        <f>H61/H66</f>
        <v>0.40164413576383157</v>
      </c>
      <c r="J61" s="186">
        <f t="shared" si="17"/>
        <v>3204</v>
      </c>
      <c r="K61" s="92">
        <f t="shared" si="18"/>
        <v>6.776076474071567E-2</v>
      </c>
      <c r="L61" s="195">
        <f t="shared" si="19"/>
        <v>444540737.69999981</v>
      </c>
      <c r="M61" s="131">
        <f t="shared" si="20"/>
        <v>0.22140101277274535</v>
      </c>
      <c r="N61" s="141"/>
      <c r="O61" s="141"/>
      <c r="P61" s="141"/>
      <c r="Q61" s="141"/>
      <c r="R61" s="141"/>
      <c r="S61" s="141"/>
    </row>
    <row r="62" spans="1:27" x14ac:dyDescent="0.25">
      <c r="A62" s="114" t="s">
        <v>108</v>
      </c>
      <c r="B62" s="186">
        <v>25998</v>
      </c>
      <c r="C62" s="90">
        <f t="shared" si="16"/>
        <v>0.22336394800374593</v>
      </c>
      <c r="D62" s="192">
        <v>943022472.56000006</v>
      </c>
      <c r="E62" s="130">
        <f>D62/D66</f>
        <v>0.19363519169994683</v>
      </c>
      <c r="F62" s="186">
        <v>25044</v>
      </c>
      <c r="G62" s="90">
        <f t="shared" si="15"/>
        <v>0.19672903803553754</v>
      </c>
      <c r="H62" s="191">
        <v>1079520524.3099999</v>
      </c>
      <c r="I62" s="116">
        <f>H62/H66</f>
        <v>0.17679993282968959</v>
      </c>
      <c r="J62" s="186">
        <f t="shared" si="17"/>
        <v>-954</v>
      </c>
      <c r="K62" s="92">
        <f t="shared" si="18"/>
        <v>-3.6695130394645739E-2</v>
      </c>
      <c r="L62" s="195">
        <f t="shared" si="19"/>
        <v>136498051.74999988</v>
      </c>
      <c r="M62" s="131">
        <f t="shared" si="20"/>
        <v>0.14474527990775443</v>
      </c>
      <c r="N62" s="141"/>
      <c r="O62" s="141"/>
      <c r="P62" s="141"/>
      <c r="Q62" s="141"/>
      <c r="R62" s="141"/>
      <c r="S62" s="141"/>
    </row>
    <row r="63" spans="1:27" x14ac:dyDescent="0.25">
      <c r="A63" s="114" t="s">
        <v>109</v>
      </c>
      <c r="B63" s="186">
        <v>6063</v>
      </c>
      <c r="C63" s="90">
        <f t="shared" si="16"/>
        <v>5.2090761471909823E-2</v>
      </c>
      <c r="D63" s="192">
        <v>210285458.66000003</v>
      </c>
      <c r="E63" s="130">
        <f>D63/D66</f>
        <v>4.3178891579118348E-2</v>
      </c>
      <c r="F63" s="186">
        <v>5118</v>
      </c>
      <c r="G63" s="90">
        <f t="shared" si="15"/>
        <v>4.0203610312485275E-2</v>
      </c>
      <c r="H63" s="191">
        <v>211317872.5</v>
      </c>
      <c r="I63" s="116">
        <f>H63/H66</f>
        <v>3.4608870162605783E-2</v>
      </c>
      <c r="J63" s="186">
        <f t="shared" si="17"/>
        <v>-945</v>
      </c>
      <c r="K63" s="92">
        <f t="shared" si="18"/>
        <v>-0.15586343394359228</v>
      </c>
      <c r="L63" s="195">
        <f t="shared" si="19"/>
        <v>1032413.8399999738</v>
      </c>
      <c r="M63" s="131">
        <f t="shared" si="20"/>
        <v>4.9095826529271898E-3</v>
      </c>
      <c r="N63" s="141"/>
      <c r="O63" s="141"/>
      <c r="P63" s="141"/>
      <c r="Q63" s="141"/>
      <c r="R63" s="141"/>
      <c r="S63" s="141"/>
    </row>
    <row r="64" spans="1:27" x14ac:dyDescent="0.25">
      <c r="A64" s="121">
        <v>100</v>
      </c>
      <c r="B64" s="186">
        <v>402</v>
      </c>
      <c r="C64" s="90">
        <f t="shared" si="16"/>
        <v>3.4538159511310817E-3</v>
      </c>
      <c r="D64" s="192">
        <v>13047052.699999999</v>
      </c>
      <c r="E64" s="130">
        <f>D64/D66</f>
        <v>2.6790120322642344E-3</v>
      </c>
      <c r="F64" s="186">
        <v>280</v>
      </c>
      <c r="G64" s="90">
        <f t="shared" si="15"/>
        <v>2.1994941163532389E-3</v>
      </c>
      <c r="H64" s="191">
        <v>10745280.040000001</v>
      </c>
      <c r="I64" s="116">
        <f>H64/H66</f>
        <v>1.7598227606857983E-3</v>
      </c>
      <c r="J64" s="186">
        <f t="shared" si="17"/>
        <v>-122</v>
      </c>
      <c r="K64" s="92">
        <f t="shared" si="18"/>
        <v>-0.30348258706467662</v>
      </c>
      <c r="L64" s="195">
        <f t="shared" si="19"/>
        <v>-2301772.6599999983</v>
      </c>
      <c r="M64" s="131">
        <f t="shared" si="20"/>
        <v>-0.17642089082693738</v>
      </c>
      <c r="N64" s="141"/>
      <c r="O64" s="141"/>
      <c r="P64" s="141"/>
      <c r="Q64" s="141"/>
      <c r="R64" s="141"/>
      <c r="S64" s="141"/>
    </row>
    <row r="65" spans="1:27" x14ac:dyDescent="0.25">
      <c r="A65" s="121" t="s">
        <v>167</v>
      </c>
      <c r="B65" s="186">
        <v>39</v>
      </c>
      <c r="C65" s="90">
        <f>B65/$B$66</f>
        <v>3.3507169675152284E-4</v>
      </c>
      <c r="D65" s="192">
        <v>1109733.76</v>
      </c>
      <c r="E65" s="130">
        <f>D65/D66</f>
        <v>2.2786679597376272E-4</v>
      </c>
      <c r="F65" s="186">
        <v>39</v>
      </c>
      <c r="G65" s="90">
        <f t="shared" si="15"/>
        <v>3.0635810906348682E-4</v>
      </c>
      <c r="H65" s="191">
        <v>1180506.67</v>
      </c>
      <c r="I65" s="116">
        <f>H65/H66</f>
        <v>1.9333907532180039E-4</v>
      </c>
      <c r="J65" s="186">
        <f t="shared" si="17"/>
        <v>0</v>
      </c>
      <c r="K65" s="92">
        <f t="shared" si="18"/>
        <v>0</v>
      </c>
      <c r="L65" s="195">
        <f t="shared" si="19"/>
        <v>70772.909999999916</v>
      </c>
      <c r="M65" s="131">
        <f t="shared" si="20"/>
        <v>6.3774675107658177E-2</v>
      </c>
      <c r="N65" s="141"/>
      <c r="O65" s="141"/>
      <c r="P65" s="141"/>
      <c r="Q65" s="141"/>
      <c r="R65" s="141"/>
      <c r="S65" s="141"/>
    </row>
    <row r="66" spans="1:27" ht="15.75" thickBot="1" x14ac:dyDescent="0.3">
      <c r="A66" s="109" t="s">
        <v>46</v>
      </c>
      <c r="B66" s="103">
        <f t="shared" ref="B66:I66" si="21">SUM(B54:B65)</f>
        <v>116393</v>
      </c>
      <c r="C66" s="104">
        <f t="shared" si="21"/>
        <v>1</v>
      </c>
      <c r="D66" s="105">
        <f>SUM(D54:D65)</f>
        <v>4870098582.1900005</v>
      </c>
      <c r="E66" s="106">
        <f t="shared" si="21"/>
        <v>1</v>
      </c>
      <c r="F66" s="317">
        <f t="shared" si="21"/>
        <v>127302</v>
      </c>
      <c r="G66" s="104">
        <f t="shared" si="21"/>
        <v>0.99999999999999989</v>
      </c>
      <c r="H66" s="317">
        <f t="shared" si="21"/>
        <v>6105887638.2599993</v>
      </c>
      <c r="I66" s="106">
        <f t="shared" si="21"/>
        <v>1</v>
      </c>
      <c r="J66" s="105">
        <f t="shared" si="17"/>
        <v>10909</v>
      </c>
      <c r="K66" s="104">
        <f t="shared" si="18"/>
        <v>9.372556768877853E-2</v>
      </c>
      <c r="L66" s="105">
        <f t="shared" si="19"/>
        <v>1235789056.0699987</v>
      </c>
      <c r="M66" s="106">
        <f t="shared" si="20"/>
        <v>0.25375031638769935</v>
      </c>
      <c r="N66" s="141"/>
      <c r="O66" s="141"/>
      <c r="P66" s="141"/>
      <c r="Q66" s="141"/>
      <c r="R66" s="141"/>
      <c r="S66" s="141"/>
    </row>
    <row r="67" spans="1:27" x14ac:dyDescent="0.25">
      <c r="A67" s="196" t="s">
        <v>149</v>
      </c>
      <c r="B67" s="146"/>
      <c r="C67" s="146"/>
      <c r="D67" s="146"/>
      <c r="E67" s="141"/>
      <c r="F67" s="146"/>
      <c r="G67" s="146"/>
      <c r="H67" s="146"/>
      <c r="I67" s="141"/>
      <c r="J67" s="141"/>
      <c r="K67" s="141"/>
      <c r="L67" s="141"/>
      <c r="M67" s="141"/>
      <c r="N67" s="141"/>
      <c r="O67" s="141"/>
      <c r="P67" s="141"/>
      <c r="Q67" s="141"/>
      <c r="R67" s="146"/>
      <c r="S67" s="146"/>
      <c r="T67" s="146"/>
      <c r="U67" s="141"/>
      <c r="V67" s="141"/>
      <c r="W67" s="141"/>
      <c r="X67" s="141"/>
      <c r="Y67" s="141"/>
      <c r="Z67" s="141"/>
      <c r="AA67" s="141"/>
    </row>
    <row r="68" spans="1:27" x14ac:dyDescent="0.25">
      <c r="A68" s="150" t="s">
        <v>146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</row>
    <row r="69" spans="1:27" x14ac:dyDescent="0.25">
      <c r="A69" s="141"/>
      <c r="B69" s="151"/>
      <c r="C69" s="141"/>
      <c r="D69" s="197"/>
      <c r="E69" s="141"/>
      <c r="F69" s="151"/>
      <c r="G69" s="141"/>
      <c r="H69" s="197"/>
      <c r="I69" s="141"/>
      <c r="J69" s="141"/>
      <c r="K69" s="141"/>
      <c r="L69" s="141"/>
      <c r="M69" s="141"/>
      <c r="N69" s="141"/>
      <c r="O69" s="141"/>
      <c r="P69" s="141"/>
      <c r="Q69" s="141"/>
      <c r="R69" s="151"/>
      <c r="S69" s="141"/>
      <c r="T69" s="197"/>
      <c r="U69" s="141"/>
      <c r="V69" s="141"/>
      <c r="W69" s="141"/>
      <c r="X69" s="141"/>
      <c r="Y69" s="141"/>
      <c r="Z69" s="141"/>
      <c r="AA69" s="141"/>
    </row>
  </sheetData>
  <mergeCells count="16">
    <mergeCell ref="A1:M1"/>
    <mergeCell ref="A2:M2"/>
    <mergeCell ref="J30:M30"/>
    <mergeCell ref="J52:M52"/>
    <mergeCell ref="B52:E52"/>
    <mergeCell ref="F52:I52"/>
    <mergeCell ref="B30:E30"/>
    <mergeCell ref="F30:I30"/>
    <mergeCell ref="A4:AA4"/>
    <mergeCell ref="A3:AA3"/>
    <mergeCell ref="A19:I19"/>
    <mergeCell ref="A5:AA5"/>
    <mergeCell ref="B7:E7"/>
    <mergeCell ref="F7:I7"/>
    <mergeCell ref="J7:M7"/>
    <mergeCell ref="A6:M6"/>
  </mergeCells>
  <pageMargins left="0.7" right="0.7" top="0.75" bottom="0.75" header="0.3" footer="0.3"/>
  <pageSetup paperSize="9" scale="18" orientation="portrait" r:id="rId1"/>
  <rowBreaks count="1" manualBreakCount="1">
    <brk id="47" max="17" man="1"/>
  </rowBreaks>
  <ignoredErrors>
    <ignoredError sqref="K32:K45 K9:K18 K56:K66 L9:L18 L32:L45 L56:L66" 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R50"/>
  <sheetViews>
    <sheetView showGridLines="0" tabSelected="1" topLeftCell="C1" zoomScaleNormal="100" workbookViewId="0">
      <selection activeCell="C12" sqref="C12"/>
    </sheetView>
  </sheetViews>
  <sheetFormatPr baseColWidth="10" defaultColWidth="11.42578125" defaultRowHeight="15" x14ac:dyDescent="0.25"/>
  <cols>
    <col min="1" max="1" width="11.42578125" style="1"/>
    <col min="2" max="2" width="10.140625" style="1" customWidth="1"/>
    <col min="3" max="3" width="16.28515625" style="1" bestFit="1" customWidth="1"/>
    <col min="4" max="4" width="8.7109375" style="1" customWidth="1"/>
    <col min="5" max="5" width="13.42578125" style="1" bestFit="1" customWidth="1"/>
    <col min="6" max="6" width="11.42578125" style="1"/>
    <col min="7" max="7" width="14.140625" style="1" bestFit="1" customWidth="1"/>
    <col min="8" max="8" width="8.7109375" style="1" customWidth="1"/>
    <col min="9" max="9" width="14.7109375" style="1" customWidth="1"/>
    <col min="10" max="10" width="11.42578125" style="1"/>
    <col min="11" max="11" width="15.28515625" style="1" customWidth="1"/>
    <col min="12" max="12" width="9" style="1" customWidth="1"/>
    <col min="13" max="13" width="13.42578125" style="1" customWidth="1"/>
    <col min="14" max="14" width="11.140625" style="1" customWidth="1"/>
    <col min="15" max="15" width="15" style="1" customWidth="1"/>
    <col min="16" max="16" width="7.7109375" style="1" customWidth="1"/>
    <col min="17" max="17" width="15.7109375" style="1" customWidth="1"/>
    <col min="18" max="18" width="20.42578125" style="1" customWidth="1"/>
    <col min="19" max="16384" width="11.42578125" style="1"/>
  </cols>
  <sheetData>
    <row r="1" spans="1:18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8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8" x14ac:dyDescent="0.25">
      <c r="A3" s="330" t="s">
        <v>152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8" x14ac:dyDescent="0.25">
      <c r="A4" s="330" t="s">
        <v>239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8" x14ac:dyDescent="0.25">
      <c r="A5" s="331" t="s">
        <v>218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x14ac:dyDescent="0.25">
      <c r="A6" s="96"/>
      <c r="B6" s="374" t="s">
        <v>216</v>
      </c>
      <c r="C6" s="374"/>
      <c r="D6" s="374"/>
      <c r="E6" s="374"/>
      <c r="F6" s="375" t="s">
        <v>132</v>
      </c>
      <c r="G6" s="375"/>
      <c r="H6" s="375"/>
      <c r="I6" s="375"/>
      <c r="J6" s="373" t="s">
        <v>14</v>
      </c>
      <c r="K6" s="373"/>
      <c r="L6" s="373"/>
      <c r="M6" s="373"/>
      <c r="N6" s="372" t="s">
        <v>15</v>
      </c>
      <c r="O6" s="372"/>
      <c r="P6" s="372"/>
      <c r="Q6" s="372"/>
    </row>
    <row r="7" spans="1:18" x14ac:dyDescent="0.25">
      <c r="A7" s="179"/>
      <c r="B7" s="371" t="s">
        <v>24</v>
      </c>
      <c r="C7" s="371"/>
      <c r="D7" s="371" t="s">
        <v>25</v>
      </c>
      <c r="E7" s="371"/>
      <c r="F7" s="371" t="s">
        <v>24</v>
      </c>
      <c r="G7" s="371"/>
      <c r="H7" s="371" t="s">
        <v>25</v>
      </c>
      <c r="I7" s="371"/>
      <c r="J7" s="371" t="s">
        <v>24</v>
      </c>
      <c r="K7" s="371"/>
      <c r="L7" s="371" t="s">
        <v>25</v>
      </c>
      <c r="M7" s="371"/>
      <c r="N7" s="371" t="s">
        <v>111</v>
      </c>
      <c r="O7" s="371"/>
      <c r="P7" s="371" t="s">
        <v>25</v>
      </c>
      <c r="Q7" s="371"/>
    </row>
    <row r="8" spans="1:18" ht="32.25" customHeight="1" x14ac:dyDescent="0.25">
      <c r="A8" s="155" t="s">
        <v>1</v>
      </c>
      <c r="B8" s="140" t="s">
        <v>26</v>
      </c>
      <c r="C8" s="140" t="s">
        <v>18</v>
      </c>
      <c r="D8" s="140" t="s">
        <v>17</v>
      </c>
      <c r="E8" s="156" t="s">
        <v>18</v>
      </c>
      <c r="F8" s="140" t="s">
        <v>27</v>
      </c>
      <c r="G8" s="140" t="s">
        <v>18</v>
      </c>
      <c r="H8" s="140" t="s">
        <v>17</v>
      </c>
      <c r="I8" s="156" t="s">
        <v>18</v>
      </c>
      <c r="J8" s="140" t="s">
        <v>27</v>
      </c>
      <c r="K8" s="140" t="s">
        <v>18</v>
      </c>
      <c r="L8" s="140" t="s">
        <v>17</v>
      </c>
      <c r="M8" s="198" t="s">
        <v>18</v>
      </c>
      <c r="N8" s="140" t="s">
        <v>28</v>
      </c>
      <c r="O8" s="140" t="s">
        <v>18</v>
      </c>
      <c r="P8" s="140" t="s">
        <v>29</v>
      </c>
      <c r="Q8" s="156" t="s">
        <v>18</v>
      </c>
    </row>
    <row r="9" spans="1:18" ht="15" hidden="1" customHeight="1" x14ac:dyDescent="0.25">
      <c r="A9" s="234" t="s">
        <v>119</v>
      </c>
      <c r="B9" s="230"/>
      <c r="C9" s="230"/>
      <c r="D9" s="230"/>
      <c r="E9" s="240"/>
      <c r="F9" s="230"/>
      <c r="G9" s="230"/>
      <c r="H9" s="230"/>
      <c r="I9" s="200"/>
      <c r="J9" s="230"/>
      <c r="K9" s="231"/>
      <c r="L9" s="174"/>
      <c r="M9" s="232"/>
      <c r="N9" s="198">
        <f>+B9+J9+F9</f>
        <v>0</v>
      </c>
      <c r="O9" s="40">
        <f>+C9+K9+G9</f>
        <v>0</v>
      </c>
      <c r="P9" s="235">
        <f>+D9+L9+H9</f>
        <v>0</v>
      </c>
      <c r="Q9" s="198">
        <f>+E9+M9+I9</f>
        <v>0</v>
      </c>
    </row>
    <row r="10" spans="1:18" x14ac:dyDescent="0.25">
      <c r="A10" s="234" t="s">
        <v>82</v>
      </c>
      <c r="B10" s="230">
        <v>139699</v>
      </c>
      <c r="C10" s="308">
        <v>2054489820.73</v>
      </c>
      <c r="D10" s="230">
        <v>64</v>
      </c>
      <c r="E10" s="308">
        <v>1199132.3999999999</v>
      </c>
      <c r="F10" s="230">
        <v>19434</v>
      </c>
      <c r="G10" s="308">
        <v>116604000</v>
      </c>
      <c r="H10" s="230">
        <v>13</v>
      </c>
      <c r="I10" s="308">
        <v>78000</v>
      </c>
      <c r="J10" s="230">
        <v>23663</v>
      </c>
      <c r="K10" s="308">
        <v>596595075.75999999</v>
      </c>
      <c r="L10" s="174">
        <v>10</v>
      </c>
      <c r="M10" s="230">
        <v>171043.69</v>
      </c>
      <c r="N10" s="40">
        <f t="shared" ref="N10" si="0">+B10+J10+F10</f>
        <v>182796</v>
      </c>
      <c r="O10" s="40">
        <f t="shared" ref="O10" si="1">+C10+K10+G10</f>
        <v>2767688896.4899998</v>
      </c>
      <c r="P10" s="40">
        <f t="shared" ref="P10" si="2">+D10+L10+H10</f>
        <v>87</v>
      </c>
      <c r="Q10" s="40">
        <f t="shared" ref="Q10" si="3">+E10+M10+I10</f>
        <v>1448176.0899999999</v>
      </c>
      <c r="R10" s="37"/>
    </row>
    <row r="11" spans="1:18" x14ac:dyDescent="0.25">
      <c r="A11" s="47" t="s">
        <v>81</v>
      </c>
      <c r="B11" s="230">
        <v>138055</v>
      </c>
      <c r="C11" s="308">
        <v>2020844017.9400001</v>
      </c>
      <c r="D11" s="230">
        <v>48</v>
      </c>
      <c r="E11" s="308">
        <v>854740.65</v>
      </c>
      <c r="F11" s="230">
        <v>18667</v>
      </c>
      <c r="G11" s="308">
        <v>113202000</v>
      </c>
      <c r="H11" s="230">
        <v>5</v>
      </c>
      <c r="I11" s="308">
        <v>30000</v>
      </c>
      <c r="J11" s="230">
        <v>23627</v>
      </c>
      <c r="K11" s="308">
        <v>593665792.08000004</v>
      </c>
      <c r="L11" s="174">
        <v>4</v>
      </c>
      <c r="M11" s="230">
        <v>41000.19</v>
      </c>
      <c r="N11" s="40">
        <f t="shared" ref="N11:Q12" si="4">+B11+J11+F11</f>
        <v>180349</v>
      </c>
      <c r="O11" s="40">
        <f t="shared" si="4"/>
        <v>2727711810.02</v>
      </c>
      <c r="P11" s="40">
        <f t="shared" si="4"/>
        <v>57</v>
      </c>
      <c r="Q11" s="40">
        <f t="shared" si="4"/>
        <v>925740.84000000008</v>
      </c>
    </row>
    <row r="12" spans="1:18" x14ac:dyDescent="0.25">
      <c r="A12" s="47" t="s">
        <v>80</v>
      </c>
      <c r="B12" s="230">
        <v>138545</v>
      </c>
      <c r="C12" s="308">
        <v>2027301070.53</v>
      </c>
      <c r="D12" s="230">
        <v>78</v>
      </c>
      <c r="E12" s="308">
        <v>1198856.01</v>
      </c>
      <c r="F12" s="230">
        <v>18919</v>
      </c>
      <c r="G12" s="308">
        <v>113514000</v>
      </c>
      <c r="H12" s="230">
        <v>40</v>
      </c>
      <c r="I12" s="308">
        <v>240000</v>
      </c>
      <c r="J12" s="230">
        <v>23680</v>
      </c>
      <c r="K12" s="308">
        <v>595532738.88999999</v>
      </c>
      <c r="L12" s="230">
        <v>11</v>
      </c>
      <c r="M12" s="230">
        <v>137315.95000000001</v>
      </c>
      <c r="N12" s="40">
        <f t="shared" si="4"/>
        <v>181144</v>
      </c>
      <c r="O12" s="40">
        <f t="shared" si="4"/>
        <v>2736347809.4200001</v>
      </c>
      <c r="P12" s="40">
        <f t="shared" si="4"/>
        <v>129</v>
      </c>
      <c r="Q12" s="40">
        <f>+E12+M12+I12</f>
        <v>1576171.96</v>
      </c>
    </row>
    <row r="13" spans="1:18" x14ac:dyDescent="0.25">
      <c r="A13" s="49" t="s">
        <v>86</v>
      </c>
      <c r="B13" s="59">
        <f>+B10</f>
        <v>139699</v>
      </c>
      <c r="C13" s="59">
        <f>SUM(C10:C12)</f>
        <v>6102634909.1999998</v>
      </c>
      <c r="D13" s="59">
        <f>SUM(D10:D12)</f>
        <v>190</v>
      </c>
      <c r="E13" s="59">
        <f>SUM(E10:E12)</f>
        <v>3252729.0599999996</v>
      </c>
      <c r="F13" s="59">
        <f>+F10</f>
        <v>19434</v>
      </c>
      <c r="G13" s="60">
        <f>SUM(G10:G12)</f>
        <v>343320000</v>
      </c>
      <c r="H13" s="59">
        <f>SUM(H10:H12)</f>
        <v>58</v>
      </c>
      <c r="I13" s="59">
        <f>SUM(I10:I12)</f>
        <v>348000</v>
      </c>
      <c r="J13" s="59">
        <f>+J10</f>
        <v>23663</v>
      </c>
      <c r="K13" s="59">
        <f>SUM(K10:K12)</f>
        <v>1785793606.73</v>
      </c>
      <c r="L13" s="59">
        <f>SUM(L10:L12)</f>
        <v>25</v>
      </c>
      <c r="M13" s="59">
        <f>SUM(M10:M12)</f>
        <v>349359.83</v>
      </c>
      <c r="N13" s="59">
        <f>+N10</f>
        <v>182796</v>
      </c>
      <c r="O13" s="59">
        <f>SUM(O10:O12)</f>
        <v>8231748515.9300003</v>
      </c>
      <c r="P13" s="59">
        <f>SUM(P10:P12)</f>
        <v>273</v>
      </c>
      <c r="Q13" s="59">
        <f>SUM(Q10:Q12)</f>
        <v>3950088.8899999997</v>
      </c>
      <c r="R13" s="322">
        <f>O13+Q13</f>
        <v>8235698604.8200006</v>
      </c>
    </row>
    <row r="14" spans="1:18" hidden="1" x14ac:dyDescent="0.25">
      <c r="A14" s="47" t="s">
        <v>34</v>
      </c>
      <c r="B14" s="174"/>
      <c r="C14" s="199"/>
      <c r="D14" s="174"/>
      <c r="E14" s="200"/>
      <c r="F14" s="174"/>
      <c r="G14" s="199"/>
      <c r="H14" s="174">
        <f>SUM(H10:H12)</f>
        <v>58</v>
      </c>
      <c r="I14" s="200"/>
      <c r="J14" s="174"/>
      <c r="K14" s="199"/>
      <c r="L14" s="174"/>
      <c r="M14" s="200"/>
      <c r="N14" s="40">
        <f t="shared" ref="N14:Q16" si="5">+B14+J14+F14</f>
        <v>0</v>
      </c>
      <c r="O14" s="61">
        <f t="shared" si="5"/>
        <v>0</v>
      </c>
      <c r="P14" s="40">
        <f t="shared" si="5"/>
        <v>58</v>
      </c>
      <c r="Q14" s="61">
        <f t="shared" si="5"/>
        <v>0</v>
      </c>
    </row>
    <row r="15" spans="1:18" hidden="1" x14ac:dyDescent="0.25">
      <c r="A15" s="47" t="s">
        <v>35</v>
      </c>
      <c r="B15" s="174"/>
      <c r="C15" s="199"/>
      <c r="D15" s="174"/>
      <c r="E15" s="200"/>
      <c r="F15" s="174"/>
      <c r="G15" s="199"/>
      <c r="H15" s="174"/>
      <c r="I15" s="200"/>
      <c r="J15" s="174"/>
      <c r="K15" s="199"/>
      <c r="L15" s="174"/>
      <c r="M15" s="200"/>
      <c r="N15" s="40">
        <f t="shared" si="5"/>
        <v>0</v>
      </c>
      <c r="O15" s="61">
        <f t="shared" si="5"/>
        <v>0</v>
      </c>
      <c r="P15" s="40">
        <f t="shared" si="5"/>
        <v>0</v>
      </c>
      <c r="Q15" s="61">
        <f t="shared" si="5"/>
        <v>0</v>
      </c>
    </row>
    <row r="16" spans="1:18" hidden="1" x14ac:dyDescent="0.25">
      <c r="A16" s="47" t="s">
        <v>36</v>
      </c>
      <c r="B16" s="174"/>
      <c r="C16" s="199"/>
      <c r="D16" s="174"/>
      <c r="E16" s="200"/>
      <c r="F16" s="174"/>
      <c r="G16" s="199"/>
      <c r="H16" s="174"/>
      <c r="I16" s="200"/>
      <c r="J16" s="174"/>
      <c r="K16" s="199"/>
      <c r="L16" s="174"/>
      <c r="M16" s="200"/>
      <c r="N16" s="40">
        <f t="shared" si="5"/>
        <v>0</v>
      </c>
      <c r="O16" s="61">
        <f t="shared" si="5"/>
        <v>0</v>
      </c>
      <c r="P16" s="40">
        <f t="shared" si="5"/>
        <v>0</v>
      </c>
      <c r="Q16" s="61">
        <f t="shared" si="5"/>
        <v>0</v>
      </c>
    </row>
    <row r="17" spans="1:18" hidden="1" x14ac:dyDescent="0.25">
      <c r="A17" s="49" t="s">
        <v>122</v>
      </c>
      <c r="B17" s="59">
        <f>+B16</f>
        <v>0</v>
      </c>
      <c r="C17" s="60">
        <f>SUM(C14:C16)</f>
        <v>0</v>
      </c>
      <c r="D17" s="59">
        <f>+D16</f>
        <v>0</v>
      </c>
      <c r="E17" s="60">
        <f>SUM(E14:E16)</f>
        <v>0</v>
      </c>
      <c r="F17" s="59">
        <f>+F16</f>
        <v>0</v>
      </c>
      <c r="G17" s="60">
        <f>SUM(G14:G16)</f>
        <v>0</v>
      </c>
      <c r="H17" s="59">
        <f>+H16</f>
        <v>0</v>
      </c>
      <c r="I17" s="60">
        <f>SUM(I14:I16)</f>
        <v>0</v>
      </c>
      <c r="J17" s="59">
        <f>+J16</f>
        <v>0</v>
      </c>
      <c r="K17" s="60">
        <f>SUM(K14:K16)</f>
        <v>0</v>
      </c>
      <c r="L17" s="59">
        <f>+L16</f>
        <v>0</v>
      </c>
      <c r="M17" s="60">
        <f>SUM(M14:M16)</f>
        <v>0</v>
      </c>
      <c r="N17" s="59">
        <f>+N16</f>
        <v>0</v>
      </c>
      <c r="O17" s="60">
        <f>SUM(O14:O16)</f>
        <v>0</v>
      </c>
      <c r="P17" s="59">
        <f>+P16</f>
        <v>0</v>
      </c>
      <c r="Q17" s="60">
        <f>SUM(Q14:Q16)</f>
        <v>0</v>
      </c>
      <c r="R17" s="38"/>
    </row>
    <row r="18" spans="1:18" hidden="1" x14ac:dyDescent="0.25">
      <c r="A18" s="47" t="s">
        <v>80</v>
      </c>
      <c r="B18" s="174"/>
      <c r="C18" s="199"/>
      <c r="D18" s="174"/>
      <c r="E18" s="200"/>
      <c r="F18" s="174"/>
      <c r="G18" s="199"/>
      <c r="H18" s="174"/>
      <c r="I18" s="200"/>
      <c r="J18" s="174"/>
      <c r="K18" s="199"/>
      <c r="L18" s="174"/>
      <c r="M18" s="200"/>
      <c r="N18" s="40">
        <f t="shared" ref="N18:Q20" si="6">+B18+J18+F18</f>
        <v>0</v>
      </c>
      <c r="O18" s="61">
        <f t="shared" si="6"/>
        <v>0</v>
      </c>
      <c r="P18" s="40">
        <f t="shared" si="6"/>
        <v>0</v>
      </c>
      <c r="Q18" s="61">
        <f t="shared" si="6"/>
        <v>0</v>
      </c>
    </row>
    <row r="19" spans="1:18" hidden="1" x14ac:dyDescent="0.25">
      <c r="A19" s="47" t="s">
        <v>81</v>
      </c>
      <c r="B19" s="174"/>
      <c r="C19" s="199"/>
      <c r="D19" s="174"/>
      <c r="E19" s="200"/>
      <c r="F19" s="174"/>
      <c r="G19" s="199"/>
      <c r="H19" s="174"/>
      <c r="I19" s="200"/>
      <c r="J19" s="174"/>
      <c r="K19" s="199"/>
      <c r="L19" s="174"/>
      <c r="M19" s="200"/>
      <c r="N19" s="40">
        <f t="shared" si="6"/>
        <v>0</v>
      </c>
      <c r="O19" s="61">
        <f t="shared" si="6"/>
        <v>0</v>
      </c>
      <c r="P19" s="40">
        <f t="shared" si="6"/>
        <v>0</v>
      </c>
      <c r="Q19" s="61">
        <f t="shared" si="6"/>
        <v>0</v>
      </c>
    </row>
    <row r="20" spans="1:18" hidden="1" x14ac:dyDescent="0.25">
      <c r="A20" s="47" t="s">
        <v>82</v>
      </c>
      <c r="B20" s="174"/>
      <c r="C20" s="199"/>
      <c r="D20" s="174"/>
      <c r="E20" s="200"/>
      <c r="F20" s="174"/>
      <c r="G20" s="199"/>
      <c r="H20" s="174"/>
      <c r="I20" s="200"/>
      <c r="J20" s="174"/>
      <c r="K20" s="199"/>
      <c r="L20" s="174"/>
      <c r="M20" s="200"/>
      <c r="N20" s="40">
        <f t="shared" si="6"/>
        <v>0</v>
      </c>
      <c r="O20" s="61">
        <f t="shared" si="6"/>
        <v>0</v>
      </c>
      <c r="P20" s="40">
        <f t="shared" si="6"/>
        <v>0</v>
      </c>
      <c r="Q20" s="61">
        <f t="shared" si="6"/>
        <v>0</v>
      </c>
    </row>
    <row r="21" spans="1:18" hidden="1" x14ac:dyDescent="0.25">
      <c r="A21" s="49" t="s">
        <v>86</v>
      </c>
      <c r="B21" s="59">
        <f>+B20</f>
        <v>0</v>
      </c>
      <c r="C21" s="60">
        <f>SUM(C18:C20)</f>
        <v>0</v>
      </c>
      <c r="D21" s="59">
        <f>+D20</f>
        <v>0</v>
      </c>
      <c r="E21" s="60">
        <f>SUM(E18:E20)</f>
        <v>0</v>
      </c>
      <c r="F21" s="59">
        <f>+F20</f>
        <v>0</v>
      </c>
      <c r="G21" s="60">
        <f>SUM(G18:G20)</f>
        <v>0</v>
      </c>
      <c r="H21" s="59">
        <f>+H20</f>
        <v>0</v>
      </c>
      <c r="I21" s="60">
        <f>SUM(I18:I20)</f>
        <v>0</v>
      </c>
      <c r="J21" s="59">
        <f>+J20</f>
        <v>0</v>
      </c>
      <c r="K21" s="60">
        <f>SUM(K18:K20)</f>
        <v>0</v>
      </c>
      <c r="L21" s="59">
        <f>+L20</f>
        <v>0</v>
      </c>
      <c r="M21" s="60">
        <f>SUM(M18:M20)</f>
        <v>0</v>
      </c>
      <c r="N21" s="59">
        <f>+N20</f>
        <v>0</v>
      </c>
      <c r="O21" s="60">
        <f>SUM(O18:O20)</f>
        <v>0</v>
      </c>
      <c r="P21" s="59">
        <f>+P20</f>
        <v>0</v>
      </c>
      <c r="Q21" s="60">
        <f>SUM(Q18:Q20)</f>
        <v>0</v>
      </c>
      <c r="R21" s="38"/>
    </row>
    <row r="22" spans="1:18" hidden="1" x14ac:dyDescent="0.25">
      <c r="A22" s="47" t="s">
        <v>83</v>
      </c>
      <c r="B22" s="174"/>
      <c r="C22" s="199"/>
      <c r="D22" s="174"/>
      <c r="E22" s="200"/>
      <c r="F22" s="174"/>
      <c r="G22" s="199"/>
      <c r="H22" s="174"/>
      <c r="I22" s="200"/>
      <c r="J22" s="174"/>
      <c r="K22" s="199"/>
      <c r="L22" s="174"/>
      <c r="M22" s="200"/>
      <c r="N22" s="40">
        <f t="shared" ref="N22:Q25" si="7">+B22+J22+F22</f>
        <v>0</v>
      </c>
      <c r="O22" s="61">
        <f t="shared" si="7"/>
        <v>0</v>
      </c>
      <c r="P22" s="40">
        <f t="shared" si="7"/>
        <v>0</v>
      </c>
      <c r="Q22" s="61">
        <f t="shared" si="7"/>
        <v>0</v>
      </c>
    </row>
    <row r="23" spans="1:18" hidden="1" x14ac:dyDescent="0.25">
      <c r="A23" s="47" t="s">
        <v>84</v>
      </c>
      <c r="B23" s="174"/>
      <c r="C23" s="199"/>
      <c r="D23" s="174"/>
      <c r="E23" s="200"/>
      <c r="F23" s="174"/>
      <c r="G23" s="199"/>
      <c r="H23" s="174"/>
      <c r="I23" s="200"/>
      <c r="J23" s="174"/>
      <c r="K23" s="199"/>
      <c r="L23" s="174"/>
      <c r="M23" s="200"/>
      <c r="N23" s="40">
        <f t="shared" si="7"/>
        <v>0</v>
      </c>
      <c r="O23" s="61">
        <f t="shared" si="7"/>
        <v>0</v>
      </c>
      <c r="P23" s="40">
        <f t="shared" si="7"/>
        <v>0</v>
      </c>
      <c r="Q23" s="61">
        <f t="shared" si="7"/>
        <v>0</v>
      </c>
    </row>
    <row r="24" spans="1:18" hidden="1" x14ac:dyDescent="0.25">
      <c r="A24" s="47" t="s">
        <v>85</v>
      </c>
      <c r="B24" s="174"/>
      <c r="C24" s="199"/>
      <c r="D24" s="174"/>
      <c r="E24" s="200"/>
      <c r="F24" s="174"/>
      <c r="G24" s="199"/>
      <c r="H24" s="174"/>
      <c r="I24" s="200"/>
      <c r="J24" s="174"/>
      <c r="K24" s="199"/>
      <c r="L24" s="174"/>
      <c r="M24" s="200"/>
      <c r="N24" s="40">
        <f t="shared" si="7"/>
        <v>0</v>
      </c>
      <c r="O24" s="61">
        <f t="shared" si="7"/>
        <v>0</v>
      </c>
      <c r="P24" s="40">
        <f t="shared" si="7"/>
        <v>0</v>
      </c>
      <c r="Q24" s="61">
        <f t="shared" si="7"/>
        <v>0</v>
      </c>
    </row>
    <row r="25" spans="1:18" hidden="1" x14ac:dyDescent="0.25">
      <c r="A25" s="47" t="s">
        <v>119</v>
      </c>
      <c r="B25" s="174"/>
      <c r="C25" s="199"/>
      <c r="D25" s="174"/>
      <c r="E25" s="200"/>
      <c r="F25" s="174"/>
      <c r="G25" s="199"/>
      <c r="H25" s="174"/>
      <c r="I25" s="200"/>
      <c r="J25" s="174"/>
      <c r="K25" s="199"/>
      <c r="L25" s="174"/>
      <c r="M25" s="200"/>
      <c r="N25" s="40">
        <f t="shared" si="7"/>
        <v>0</v>
      </c>
      <c r="O25" s="61">
        <f t="shared" si="7"/>
        <v>0</v>
      </c>
      <c r="P25" s="40">
        <f t="shared" si="7"/>
        <v>0</v>
      </c>
      <c r="Q25" s="61">
        <f t="shared" si="7"/>
        <v>0</v>
      </c>
    </row>
    <row r="26" spans="1:18" hidden="1" x14ac:dyDescent="0.25">
      <c r="A26" s="49" t="s">
        <v>87</v>
      </c>
      <c r="B26" s="59">
        <f>+B24</f>
        <v>0</v>
      </c>
      <c r="C26" s="59">
        <f>SUM(C22:C25)</f>
        <v>0</v>
      </c>
      <c r="D26" s="59">
        <f>+D24</f>
        <v>0</v>
      </c>
      <c r="E26" s="60">
        <f>SUM(E22:E25)</f>
        <v>0</v>
      </c>
      <c r="F26" s="59">
        <f>+F24</f>
        <v>0</v>
      </c>
      <c r="G26" s="60">
        <f>SUM(G22:G25)</f>
        <v>0</v>
      </c>
      <c r="H26" s="59">
        <f>+H24</f>
        <v>0</v>
      </c>
      <c r="I26" s="60">
        <f>SUM(I22:I25)</f>
        <v>0</v>
      </c>
      <c r="J26" s="59">
        <f>+J24</f>
        <v>0</v>
      </c>
      <c r="K26" s="60">
        <f>SUM(K22:K25)</f>
        <v>0</v>
      </c>
      <c r="L26" s="59">
        <f>+L24</f>
        <v>0</v>
      </c>
      <c r="M26" s="60">
        <f>SUM(M22:M25)</f>
        <v>0</v>
      </c>
      <c r="N26" s="59">
        <f>+N24</f>
        <v>0</v>
      </c>
      <c r="O26" s="60">
        <f>SUM(O22:O25)</f>
        <v>0</v>
      </c>
      <c r="P26" s="59">
        <f>+P24</f>
        <v>0</v>
      </c>
      <c r="Q26" s="60">
        <f>SUM(Q22:Q25)</f>
        <v>0</v>
      </c>
      <c r="R26" s="38"/>
    </row>
    <row r="27" spans="1:18" hidden="1" x14ac:dyDescent="0.25">
      <c r="A27" s="52" t="s">
        <v>9</v>
      </c>
      <c r="B27" s="62">
        <f>+B26</f>
        <v>0</v>
      </c>
      <c r="C27" s="63">
        <f>+C13+C17+C21+C26</f>
        <v>6102634909.1999998</v>
      </c>
      <c r="D27" s="62">
        <f>+D26</f>
        <v>0</v>
      </c>
      <c r="E27" s="63">
        <f>+E13+E17+E21+E26</f>
        <v>3252729.0599999996</v>
      </c>
      <c r="F27" s="62">
        <f>+F26</f>
        <v>0</v>
      </c>
      <c r="G27" s="63">
        <f>+G13+G17+G21+G26</f>
        <v>343320000</v>
      </c>
      <c r="H27" s="62">
        <f>+H26</f>
        <v>0</v>
      </c>
      <c r="I27" s="63">
        <f>+I13+I17+I21+I26</f>
        <v>348000</v>
      </c>
      <c r="J27" s="62">
        <f>+J26</f>
        <v>0</v>
      </c>
      <c r="K27" s="63">
        <f>+K13+K17+K21+K26</f>
        <v>1785793606.73</v>
      </c>
      <c r="L27" s="62">
        <f>+L26</f>
        <v>0</v>
      </c>
      <c r="M27" s="63">
        <f>+M13+M17+M21+M26</f>
        <v>349359.83</v>
      </c>
      <c r="N27" s="62">
        <f>+N26</f>
        <v>0</v>
      </c>
      <c r="O27" s="63">
        <f>+O13+O17+O21+O26</f>
        <v>8231748515.9300003</v>
      </c>
      <c r="P27" s="62">
        <f>+P26</f>
        <v>0</v>
      </c>
      <c r="Q27" s="63">
        <f>+Q13+Q17+Q21+Q26</f>
        <v>3950088.8899999997</v>
      </c>
      <c r="R27" s="38"/>
    </row>
    <row r="28" spans="1:18" x14ac:dyDescent="0.25">
      <c r="A28" s="162" t="s">
        <v>39</v>
      </c>
      <c r="B28" s="26"/>
      <c r="C28" s="26"/>
      <c r="D28" s="2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201">
        <f>O13/R13</f>
        <v>0.99952036990672677</v>
      </c>
      <c r="P28" s="201"/>
      <c r="Q28" s="201">
        <f>Q13/R13</f>
        <v>4.7963009327322669E-4</v>
      </c>
      <c r="R28" s="38">
        <f>R13-Nómina!M12</f>
        <v>0</v>
      </c>
    </row>
    <row r="29" spans="1:18" x14ac:dyDescent="0.25">
      <c r="A29" s="271" t="s">
        <v>164</v>
      </c>
      <c r="B29" s="141"/>
      <c r="C29" s="202"/>
      <c r="D29" s="141"/>
      <c r="E29" s="141"/>
      <c r="F29" s="141"/>
      <c r="G29" s="202"/>
      <c r="H29" s="141"/>
      <c r="I29" s="141"/>
      <c r="J29" s="202"/>
      <c r="K29" s="202"/>
      <c r="L29" s="141"/>
      <c r="M29" s="141"/>
      <c r="N29" s="141"/>
      <c r="O29" s="202"/>
      <c r="P29" s="141"/>
      <c r="Q29" s="141"/>
      <c r="R29" s="37"/>
    </row>
    <row r="30" spans="1:18" x14ac:dyDescent="0.25">
      <c r="B30" s="37"/>
      <c r="C30" s="37"/>
      <c r="O30" s="37"/>
    </row>
    <row r="34" spans="1:17" x14ac:dyDescent="0.25">
      <c r="O34" s="37"/>
    </row>
    <row r="36" spans="1:17" x14ac:dyDescent="0.25">
      <c r="N36" s="37"/>
    </row>
    <row r="38" spans="1:17" x14ac:dyDescent="0.25">
      <c r="M38" s="37"/>
    </row>
    <row r="43" spans="1:17" x14ac:dyDescent="0.25">
      <c r="N43" s="18"/>
    </row>
    <row r="48" spans="1:17" x14ac:dyDescent="0.25">
      <c r="A48" s="47"/>
      <c r="B48" s="174"/>
      <c r="C48" s="199"/>
      <c r="D48" s="174"/>
      <c r="E48" s="200"/>
      <c r="F48" s="174"/>
      <c r="G48" s="199"/>
      <c r="H48" s="174"/>
      <c r="I48" s="200"/>
      <c r="J48" s="174"/>
      <c r="K48" s="199"/>
      <c r="L48" s="174"/>
      <c r="M48" s="200"/>
      <c r="N48" s="40"/>
      <c r="O48" s="40"/>
      <c r="P48" s="40"/>
      <c r="Q48" s="135"/>
    </row>
    <row r="50" spans="1:17" x14ac:dyDescent="0.25">
      <c r="A50" s="47"/>
      <c r="B50" s="174"/>
      <c r="C50" s="199"/>
      <c r="D50" s="174"/>
      <c r="E50" s="200"/>
      <c r="F50" s="174"/>
      <c r="G50" s="199"/>
      <c r="H50" s="174"/>
      <c r="I50" s="200"/>
      <c r="J50" s="174"/>
      <c r="K50" s="199"/>
      <c r="L50" s="174"/>
      <c r="M50" s="200"/>
      <c r="N50" s="40"/>
      <c r="O50" s="40"/>
      <c r="P50" s="40"/>
      <c r="Q50" s="135"/>
    </row>
  </sheetData>
  <mergeCells count="17"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6:Q6"/>
    <mergeCell ref="N7:O7"/>
    <mergeCell ref="P7:Q7"/>
    <mergeCell ref="A4:Q4"/>
    <mergeCell ref="F7:G7"/>
    <mergeCell ref="H7:I7"/>
    <mergeCell ref="J6:M6"/>
    <mergeCell ref="B6:E6"/>
  </mergeCells>
  <pageMargins left="0.7" right="0.7" top="0.75" bottom="0.75" header="0.3" footer="0.3"/>
  <pageSetup paperSize="9" scale="42" orientation="portrait" r:id="rId1"/>
  <colBreaks count="1" manualBreakCount="1">
    <brk id="17" max="1048575" man="1"/>
  </colBreaks>
  <ignoredErrors>
    <ignoredError sqref="C26 E26 F13" formula="1"/>
    <ignoredError sqref="Q28 O2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T39"/>
  <sheetViews>
    <sheetView showGridLines="0" tabSelected="1" topLeftCell="I1" zoomScale="85" zoomScaleNormal="85" workbookViewId="0">
      <selection activeCell="C12" sqref="C12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9" style="1" bestFit="1" customWidth="1"/>
    <col min="4" max="4" width="14.7109375" style="1" bestFit="1" customWidth="1"/>
    <col min="5" max="5" width="12.42578125" style="1" hidden="1" customWidth="1"/>
    <col min="6" max="6" width="8.7109375" style="1" hidden="1" customWidth="1"/>
    <col min="7" max="7" width="0.42578125" style="1" hidden="1" customWidth="1"/>
    <col min="8" max="8" width="11.42578125" style="1" customWidth="1"/>
    <col min="9" max="9" width="14" style="1" bestFit="1" customWidth="1"/>
    <col min="10" max="10" width="13.7109375" style="1" customWidth="1"/>
    <col min="11" max="12" width="10.7109375" style="1" customWidth="1"/>
    <col min="13" max="13" width="14.42578125" style="1" customWidth="1"/>
    <col min="14" max="14" width="11.42578125" style="1" customWidth="1"/>
    <col min="15" max="15" width="20.42578125" style="1" customWidth="1"/>
    <col min="16" max="16" width="35.140625" style="1" customWidth="1"/>
    <col min="17" max="17" width="11.7109375" style="1" bestFit="1" customWidth="1"/>
    <col min="18" max="18" width="18.42578125" style="1" customWidth="1"/>
    <col min="19" max="19" width="16" style="1" bestFit="1" customWidth="1"/>
    <col min="20" max="20" width="11.7109375" style="1" bestFit="1" customWidth="1"/>
    <col min="21" max="16384" width="11.42578125" style="1"/>
  </cols>
  <sheetData>
    <row r="1" spans="1:18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8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8" x14ac:dyDescent="0.25">
      <c r="A3" s="330" t="s">
        <v>153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8" x14ac:dyDescent="0.25">
      <c r="A4" s="330" t="s">
        <v>245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8" x14ac:dyDescent="0.25">
      <c r="A5" s="331" t="s">
        <v>218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8" x14ac:dyDescent="0.25">
      <c r="A6" s="96"/>
      <c r="B6" s="374" t="s">
        <v>216</v>
      </c>
      <c r="C6" s="374"/>
      <c r="D6" s="374"/>
      <c r="E6" s="375" t="s">
        <v>132</v>
      </c>
      <c r="F6" s="375"/>
      <c r="G6" s="375"/>
      <c r="H6" s="373" t="s">
        <v>14</v>
      </c>
      <c r="I6" s="373"/>
      <c r="J6" s="373"/>
      <c r="K6" s="372" t="s">
        <v>15</v>
      </c>
      <c r="L6" s="372"/>
      <c r="M6" s="372"/>
      <c r="N6" s="141"/>
      <c r="O6" s="141"/>
      <c r="P6" s="141"/>
      <c r="Q6" s="141"/>
      <c r="R6" s="141"/>
    </row>
    <row r="7" spans="1:18" ht="39.75" customHeight="1" x14ac:dyDescent="0.25">
      <c r="A7" s="97" t="s">
        <v>1</v>
      </c>
      <c r="B7" s="48" t="s">
        <v>47</v>
      </c>
      <c r="C7" s="48" t="s">
        <v>49</v>
      </c>
      <c r="D7" s="48" t="s">
        <v>18</v>
      </c>
      <c r="E7" s="48" t="s">
        <v>47</v>
      </c>
      <c r="F7" s="48" t="s">
        <v>49</v>
      </c>
      <c r="G7" s="48" t="s">
        <v>18</v>
      </c>
      <c r="H7" s="48" t="s">
        <v>47</v>
      </c>
      <c r="I7" s="48" t="s">
        <v>49</v>
      </c>
      <c r="J7" s="48" t="s">
        <v>18</v>
      </c>
      <c r="K7" s="48" t="s">
        <v>16</v>
      </c>
      <c r="L7" s="48" t="s">
        <v>17</v>
      </c>
      <c r="M7" s="48" t="s">
        <v>18</v>
      </c>
      <c r="N7" s="141"/>
      <c r="O7" s="141"/>
      <c r="P7" s="141"/>
      <c r="Q7" s="141"/>
      <c r="R7" s="141"/>
    </row>
    <row r="8" spans="1:18" ht="15" hidden="1" customHeight="1" x14ac:dyDescent="0.25">
      <c r="A8" s="242" t="s">
        <v>217</v>
      </c>
      <c r="B8" s="230"/>
      <c r="C8" s="230"/>
      <c r="D8" s="134"/>
      <c r="E8" s="241"/>
      <c r="F8" s="241"/>
      <c r="G8" s="241"/>
      <c r="H8" s="236"/>
      <c r="I8" s="205"/>
      <c r="J8" s="64"/>
      <c r="K8" s="243">
        <f>+B8+H8</f>
        <v>0</v>
      </c>
      <c r="L8" s="243">
        <f>+C8+I8</f>
        <v>0</v>
      </c>
      <c r="M8" s="244">
        <f>+D8+J8</f>
        <v>0</v>
      </c>
      <c r="N8" s="141"/>
      <c r="O8" s="141"/>
      <c r="P8" s="141"/>
      <c r="Q8" s="141"/>
      <c r="R8" s="141"/>
    </row>
    <row r="9" spans="1:18" x14ac:dyDescent="0.25">
      <c r="A9" s="299" t="s">
        <v>82</v>
      </c>
      <c r="B9" s="134">
        <v>0</v>
      </c>
      <c r="C9" s="134">
        <v>0</v>
      </c>
      <c r="D9" s="203">
        <v>0</v>
      </c>
      <c r="E9" s="134"/>
      <c r="F9" s="134"/>
      <c r="G9" s="203"/>
      <c r="H9" s="134">
        <v>0</v>
      </c>
      <c r="I9" s="134">
        <v>0</v>
      </c>
      <c r="J9" s="203">
        <v>0</v>
      </c>
      <c r="K9" s="40">
        <f t="shared" ref="K9" si="0">+B9+H9+E9</f>
        <v>0</v>
      </c>
      <c r="L9" s="40">
        <f t="shared" ref="L9" si="1">+C9+I9+F9</f>
        <v>0</v>
      </c>
      <c r="M9" s="40">
        <f t="shared" ref="M9" si="2">+D9+J9+G9</f>
        <v>0</v>
      </c>
      <c r="N9" s="141"/>
      <c r="O9" s="141"/>
      <c r="P9" s="141"/>
      <c r="Q9" s="141"/>
      <c r="R9" s="141"/>
    </row>
    <row r="10" spans="1:18" x14ac:dyDescent="0.25">
      <c r="A10" s="47" t="s">
        <v>81</v>
      </c>
      <c r="B10" s="134">
        <v>0</v>
      </c>
      <c r="C10" s="134">
        <v>0</v>
      </c>
      <c r="D10" s="203">
        <v>0</v>
      </c>
      <c r="E10" s="134"/>
      <c r="F10" s="134"/>
      <c r="G10" s="203"/>
      <c r="H10" s="134">
        <v>0</v>
      </c>
      <c r="I10" s="134">
        <v>0</v>
      </c>
      <c r="J10" s="203">
        <v>0</v>
      </c>
      <c r="K10" s="40">
        <f t="shared" ref="K10:M11" si="3">+B10+H10+E10</f>
        <v>0</v>
      </c>
      <c r="L10" s="40">
        <f t="shared" si="3"/>
        <v>0</v>
      </c>
      <c r="M10" s="40">
        <f t="shared" si="3"/>
        <v>0</v>
      </c>
      <c r="N10" s="141"/>
      <c r="O10" s="141"/>
      <c r="P10" s="141"/>
      <c r="Q10" s="141"/>
      <c r="R10" s="141"/>
    </row>
    <row r="11" spans="1:18" x14ac:dyDescent="0.25">
      <c r="A11" s="47" t="s">
        <v>80</v>
      </c>
      <c r="B11" s="134">
        <v>708</v>
      </c>
      <c r="C11" s="134">
        <v>734</v>
      </c>
      <c r="D11" s="134">
        <v>28603358.690000001</v>
      </c>
      <c r="E11" s="134"/>
      <c r="F11" s="134"/>
      <c r="G11" s="203"/>
      <c r="H11" s="134">
        <v>421</v>
      </c>
      <c r="I11" s="134">
        <v>421</v>
      </c>
      <c r="J11" s="134">
        <v>37611915.68</v>
      </c>
      <c r="K11" s="40">
        <f t="shared" si="3"/>
        <v>1129</v>
      </c>
      <c r="L11" s="40">
        <f t="shared" si="3"/>
        <v>1155</v>
      </c>
      <c r="M11" s="40">
        <f t="shared" si="3"/>
        <v>66215274.370000005</v>
      </c>
      <c r="N11" s="141"/>
      <c r="O11" s="141"/>
      <c r="P11" s="141"/>
      <c r="Q11" s="141"/>
      <c r="R11" s="141"/>
    </row>
    <row r="12" spans="1:18" x14ac:dyDescent="0.25">
      <c r="A12" s="49" t="s">
        <v>86</v>
      </c>
      <c r="B12" s="42">
        <f t="shared" ref="B12:M12" si="4">SUM(B9:B11)</f>
        <v>708</v>
      </c>
      <c r="C12" s="42">
        <f t="shared" si="4"/>
        <v>734</v>
      </c>
      <c r="D12" s="42">
        <f t="shared" si="4"/>
        <v>28603358.690000001</v>
      </c>
      <c r="E12" s="42">
        <f t="shared" si="4"/>
        <v>0</v>
      </c>
      <c r="F12" s="42">
        <f t="shared" si="4"/>
        <v>0</v>
      </c>
      <c r="G12" s="42">
        <f t="shared" si="4"/>
        <v>0</v>
      </c>
      <c r="H12" s="245">
        <f t="shared" si="4"/>
        <v>421</v>
      </c>
      <c r="I12" s="245">
        <f t="shared" si="4"/>
        <v>421</v>
      </c>
      <c r="J12" s="42">
        <f t="shared" si="4"/>
        <v>37611915.68</v>
      </c>
      <c r="K12" s="42">
        <f t="shared" si="4"/>
        <v>1129</v>
      </c>
      <c r="L12" s="42">
        <f t="shared" si="4"/>
        <v>1155</v>
      </c>
      <c r="M12" s="42">
        <f t="shared" si="4"/>
        <v>66215274.370000005</v>
      </c>
      <c r="N12" s="141"/>
      <c r="O12" s="141"/>
      <c r="P12" s="141"/>
      <c r="Q12" s="141"/>
      <c r="R12" s="141"/>
    </row>
    <row r="13" spans="1:18" hidden="1" x14ac:dyDescent="0.25">
      <c r="A13" s="47" t="s">
        <v>34</v>
      </c>
      <c r="B13" s="134"/>
      <c r="C13" s="134"/>
      <c r="D13" s="203"/>
      <c r="E13" s="134"/>
      <c r="F13" s="134"/>
      <c r="G13" s="203"/>
      <c r="H13" s="134"/>
      <c r="I13" s="134"/>
      <c r="J13" s="203"/>
      <c r="K13" s="39">
        <f t="shared" ref="K13:M15" si="5">+B13+H13+E13</f>
        <v>0</v>
      </c>
      <c r="L13" s="39">
        <f t="shared" si="5"/>
        <v>0</v>
      </c>
      <c r="M13" s="69">
        <f t="shared" si="5"/>
        <v>0</v>
      </c>
      <c r="N13" s="141"/>
      <c r="O13" s="141"/>
      <c r="P13" s="141"/>
      <c r="Q13" s="141"/>
      <c r="R13" s="141"/>
    </row>
    <row r="14" spans="1:18" hidden="1" x14ac:dyDescent="0.25">
      <c r="A14" s="47" t="s">
        <v>35</v>
      </c>
      <c r="B14" s="134"/>
      <c r="C14" s="134"/>
      <c r="D14" s="203"/>
      <c r="E14" s="134"/>
      <c r="F14" s="134"/>
      <c r="G14" s="203"/>
      <c r="H14" s="134"/>
      <c r="I14" s="134"/>
      <c r="J14" s="203"/>
      <c r="K14" s="39">
        <f t="shared" si="5"/>
        <v>0</v>
      </c>
      <c r="L14" s="39">
        <f t="shared" si="5"/>
        <v>0</v>
      </c>
      <c r="M14" s="69">
        <f t="shared" si="5"/>
        <v>0</v>
      </c>
      <c r="N14" s="141"/>
      <c r="O14" s="141"/>
      <c r="P14" s="141"/>
      <c r="Q14" s="141"/>
      <c r="R14" s="141"/>
    </row>
    <row r="15" spans="1:18" hidden="1" x14ac:dyDescent="0.25">
      <c r="A15" s="47" t="s">
        <v>36</v>
      </c>
      <c r="B15" s="134"/>
      <c r="C15" s="134"/>
      <c r="D15" s="203"/>
      <c r="E15" s="134"/>
      <c r="F15" s="134"/>
      <c r="G15" s="203"/>
      <c r="H15" s="134"/>
      <c r="I15" s="134"/>
      <c r="J15" s="203"/>
      <c r="K15" s="39">
        <f t="shared" si="5"/>
        <v>0</v>
      </c>
      <c r="L15" s="39">
        <f t="shared" si="5"/>
        <v>0</v>
      </c>
      <c r="M15" s="69">
        <f t="shared" si="5"/>
        <v>0</v>
      </c>
      <c r="N15" s="141"/>
      <c r="O15" s="141"/>
      <c r="P15" s="141"/>
      <c r="Q15" s="141"/>
      <c r="R15" s="141"/>
    </row>
    <row r="16" spans="1:18" hidden="1" x14ac:dyDescent="0.25">
      <c r="A16" s="29" t="s">
        <v>122</v>
      </c>
      <c r="B16" s="41">
        <f t="shared" ref="B16:M16" si="6">SUM(B13:B15)</f>
        <v>0</v>
      </c>
      <c r="C16" s="41">
        <f t="shared" si="6"/>
        <v>0</v>
      </c>
      <c r="D16" s="41">
        <f t="shared" si="6"/>
        <v>0</v>
      </c>
      <c r="E16" s="41">
        <f t="shared" ref="E16:J16" si="7">SUM(E13:E15)</f>
        <v>0</v>
      </c>
      <c r="F16" s="41">
        <f t="shared" si="7"/>
        <v>0</v>
      </c>
      <c r="G16" s="41">
        <f t="shared" si="7"/>
        <v>0</v>
      </c>
      <c r="H16" s="41">
        <f t="shared" si="7"/>
        <v>0</v>
      </c>
      <c r="I16" s="41">
        <f t="shared" si="7"/>
        <v>0</v>
      </c>
      <c r="J16" s="41">
        <f t="shared" si="7"/>
        <v>0</v>
      </c>
      <c r="K16" s="41">
        <f t="shared" si="6"/>
        <v>0</v>
      </c>
      <c r="L16" s="41">
        <f t="shared" si="6"/>
        <v>0</v>
      </c>
      <c r="M16" s="41">
        <f t="shared" si="6"/>
        <v>0</v>
      </c>
      <c r="N16" s="141"/>
      <c r="O16" s="141"/>
      <c r="P16" s="141"/>
      <c r="Q16" s="141"/>
      <c r="R16" s="141"/>
    </row>
    <row r="17" spans="1:20" hidden="1" x14ac:dyDescent="0.25">
      <c r="A17" s="47" t="s">
        <v>80</v>
      </c>
      <c r="B17" s="134"/>
      <c r="C17" s="134"/>
      <c r="D17" s="203"/>
      <c r="E17" s="134"/>
      <c r="F17" s="134"/>
      <c r="G17" s="203"/>
      <c r="H17" s="134"/>
      <c r="I17" s="134"/>
      <c r="J17" s="203"/>
      <c r="K17" s="39">
        <f t="shared" ref="K17:M19" si="8">+B17+H17+E17</f>
        <v>0</v>
      </c>
      <c r="L17" s="39">
        <f t="shared" si="8"/>
        <v>0</v>
      </c>
      <c r="M17" s="69">
        <f t="shared" si="8"/>
        <v>0</v>
      </c>
      <c r="N17" s="141"/>
      <c r="O17" s="141"/>
      <c r="P17" s="141"/>
      <c r="Q17" s="141"/>
      <c r="R17" s="141"/>
    </row>
    <row r="18" spans="1:20" hidden="1" x14ac:dyDescent="0.25">
      <c r="A18" s="47" t="s">
        <v>81</v>
      </c>
      <c r="B18" s="134"/>
      <c r="C18" s="134"/>
      <c r="D18" s="203"/>
      <c r="E18" s="134"/>
      <c r="F18" s="134"/>
      <c r="G18" s="203"/>
      <c r="H18" s="134"/>
      <c r="I18" s="134"/>
      <c r="J18" s="203"/>
      <c r="K18" s="39">
        <f t="shared" si="8"/>
        <v>0</v>
      </c>
      <c r="L18" s="39">
        <f t="shared" si="8"/>
        <v>0</v>
      </c>
      <c r="M18" s="69">
        <f t="shared" si="8"/>
        <v>0</v>
      </c>
      <c r="N18" s="141"/>
      <c r="O18" s="141"/>
      <c r="P18" s="141"/>
      <c r="Q18" s="141"/>
      <c r="R18" s="141"/>
    </row>
    <row r="19" spans="1:20" hidden="1" x14ac:dyDescent="0.25">
      <c r="A19" s="47" t="s">
        <v>82</v>
      </c>
      <c r="B19" s="134"/>
      <c r="C19" s="134"/>
      <c r="D19" s="203"/>
      <c r="E19" s="134"/>
      <c r="F19" s="134"/>
      <c r="G19" s="203"/>
      <c r="H19" s="134"/>
      <c r="I19" s="134"/>
      <c r="J19" s="203"/>
      <c r="K19" s="39">
        <f t="shared" si="8"/>
        <v>0</v>
      </c>
      <c r="L19" s="39">
        <f t="shared" si="8"/>
        <v>0</v>
      </c>
      <c r="M19" s="69">
        <f t="shared" si="8"/>
        <v>0</v>
      </c>
      <c r="N19" s="141"/>
      <c r="O19" s="141"/>
      <c r="P19" s="141"/>
      <c r="Q19" s="141"/>
      <c r="R19" s="141"/>
    </row>
    <row r="20" spans="1:20" hidden="1" x14ac:dyDescent="0.25">
      <c r="A20" s="29" t="s">
        <v>86</v>
      </c>
      <c r="B20" s="41">
        <f t="shared" ref="B20:D20" si="9">SUM(B17:B19)</f>
        <v>0</v>
      </c>
      <c r="C20" s="41">
        <f t="shared" si="9"/>
        <v>0</v>
      </c>
      <c r="D20" s="41">
        <f t="shared" si="9"/>
        <v>0</v>
      </c>
      <c r="E20" s="41">
        <f t="shared" ref="E20:M20" si="10">SUM(E17:E19)</f>
        <v>0</v>
      </c>
      <c r="F20" s="41">
        <f t="shared" si="10"/>
        <v>0</v>
      </c>
      <c r="G20" s="41">
        <f t="shared" si="10"/>
        <v>0</v>
      </c>
      <c r="H20" s="41">
        <f>SUM(H17:H19)</f>
        <v>0</v>
      </c>
      <c r="I20" s="41">
        <f>SUM(I17:I19)</f>
        <v>0</v>
      </c>
      <c r="J20" s="41">
        <f>SUM(J17:J19)</f>
        <v>0</v>
      </c>
      <c r="K20" s="41">
        <f t="shared" si="10"/>
        <v>0</v>
      </c>
      <c r="L20" s="41">
        <f t="shared" si="10"/>
        <v>0</v>
      </c>
      <c r="M20" s="41">
        <f t="shared" si="10"/>
        <v>0</v>
      </c>
      <c r="N20" s="141"/>
      <c r="O20" s="141"/>
      <c r="P20" s="141"/>
      <c r="Q20" s="141"/>
      <c r="R20" s="141"/>
    </row>
    <row r="21" spans="1:20" hidden="1" x14ac:dyDescent="0.25">
      <c r="A21" s="47" t="s">
        <v>83</v>
      </c>
      <c r="B21" s="134"/>
      <c r="C21" s="134"/>
      <c r="D21" s="203"/>
      <c r="E21" s="134"/>
      <c r="F21" s="134"/>
      <c r="G21" s="203"/>
      <c r="H21" s="134"/>
      <c r="I21" s="134"/>
      <c r="J21" s="203"/>
      <c r="K21" s="39">
        <f t="shared" ref="K21:M23" si="11">+B21+H21+E21</f>
        <v>0</v>
      </c>
      <c r="L21" s="39">
        <f t="shared" si="11"/>
        <v>0</v>
      </c>
      <c r="M21" s="69">
        <f t="shared" si="11"/>
        <v>0</v>
      </c>
      <c r="N21" s="141"/>
      <c r="O21" s="141"/>
      <c r="P21" s="141"/>
      <c r="Q21" s="141"/>
      <c r="R21" s="141"/>
    </row>
    <row r="22" spans="1:20" hidden="1" x14ac:dyDescent="0.25">
      <c r="A22" s="47" t="s">
        <v>84</v>
      </c>
      <c r="B22" s="134"/>
      <c r="C22" s="134"/>
      <c r="D22" s="203"/>
      <c r="E22" s="134"/>
      <c r="F22" s="134"/>
      <c r="G22" s="203"/>
      <c r="H22" s="134"/>
      <c r="I22" s="134"/>
      <c r="J22" s="203"/>
      <c r="K22" s="39">
        <f t="shared" si="11"/>
        <v>0</v>
      </c>
      <c r="L22" s="39">
        <f t="shared" si="11"/>
        <v>0</v>
      </c>
      <c r="M22" s="69">
        <f t="shared" si="11"/>
        <v>0</v>
      </c>
      <c r="N22" s="141"/>
      <c r="O22" s="141"/>
      <c r="P22" s="141"/>
      <c r="Q22" s="141"/>
      <c r="R22" s="141"/>
    </row>
    <row r="23" spans="1:20" hidden="1" x14ac:dyDescent="0.25">
      <c r="A23" s="47" t="s">
        <v>120</v>
      </c>
      <c r="B23" s="134"/>
      <c r="C23" s="134"/>
      <c r="D23" s="203"/>
      <c r="E23" s="134"/>
      <c r="F23" s="134"/>
      <c r="G23" s="203"/>
      <c r="H23" s="134"/>
      <c r="I23" s="134"/>
      <c r="J23" s="203"/>
      <c r="K23" s="39">
        <f t="shared" si="11"/>
        <v>0</v>
      </c>
      <c r="L23" s="39">
        <f t="shared" si="11"/>
        <v>0</v>
      </c>
      <c r="M23" s="69">
        <f t="shared" si="11"/>
        <v>0</v>
      </c>
      <c r="N23" s="141"/>
      <c r="O23" s="141"/>
      <c r="P23" s="141"/>
      <c r="Q23" s="141"/>
      <c r="R23" s="141"/>
    </row>
    <row r="24" spans="1:20" hidden="1" x14ac:dyDescent="0.25">
      <c r="A24" s="29" t="s">
        <v>87</v>
      </c>
      <c r="B24" s="41">
        <f t="shared" ref="B24:M24" si="12">SUM(B21:B23)</f>
        <v>0</v>
      </c>
      <c r="C24" s="41">
        <f t="shared" si="12"/>
        <v>0</v>
      </c>
      <c r="D24" s="41">
        <f t="shared" si="12"/>
        <v>0</v>
      </c>
      <c r="E24" s="41">
        <f t="shared" ref="E24:J24" si="13">SUM(E21:E23)</f>
        <v>0</v>
      </c>
      <c r="F24" s="41">
        <f t="shared" si="13"/>
        <v>0</v>
      </c>
      <c r="G24" s="41">
        <f t="shared" si="13"/>
        <v>0</v>
      </c>
      <c r="H24" s="41">
        <f t="shared" si="13"/>
        <v>0</v>
      </c>
      <c r="I24" s="41">
        <f t="shared" si="13"/>
        <v>0</v>
      </c>
      <c r="J24" s="41">
        <f t="shared" si="13"/>
        <v>0</v>
      </c>
      <c r="K24" s="41">
        <f t="shared" si="12"/>
        <v>0</v>
      </c>
      <c r="L24" s="41">
        <f t="shared" si="12"/>
        <v>0</v>
      </c>
      <c r="M24" s="41">
        <f t="shared" si="12"/>
        <v>0</v>
      </c>
      <c r="N24" s="141"/>
      <c r="O24" s="141"/>
      <c r="P24" s="141"/>
      <c r="Q24" s="141"/>
      <c r="R24" s="141"/>
    </row>
    <row r="25" spans="1:20" hidden="1" x14ac:dyDescent="0.25">
      <c r="A25" s="75" t="s">
        <v>9</v>
      </c>
      <c r="B25" s="43">
        <f t="shared" ref="B25:K25" si="14">+B12+B16+B20+B24</f>
        <v>708</v>
      </c>
      <c r="C25" s="43">
        <f t="shared" si="14"/>
        <v>734</v>
      </c>
      <c r="D25" s="43">
        <f t="shared" si="14"/>
        <v>28603358.690000001</v>
      </c>
      <c r="E25" s="43">
        <f t="shared" si="14"/>
        <v>0</v>
      </c>
      <c r="F25" s="43">
        <f t="shared" si="14"/>
        <v>0</v>
      </c>
      <c r="G25" s="43">
        <f t="shared" si="14"/>
        <v>0</v>
      </c>
      <c r="H25" s="43">
        <f t="shared" si="14"/>
        <v>421</v>
      </c>
      <c r="I25" s="43">
        <f t="shared" si="14"/>
        <v>421</v>
      </c>
      <c r="J25" s="43">
        <f t="shared" si="14"/>
        <v>37611915.68</v>
      </c>
      <c r="K25" s="43">
        <f t="shared" si="14"/>
        <v>1129</v>
      </c>
      <c r="L25" s="43">
        <f t="shared" ref="L25:M25" si="15">+L12+L16+L20+L24</f>
        <v>1155</v>
      </c>
      <c r="M25" s="43">
        <f t="shared" si="15"/>
        <v>66215274.370000005</v>
      </c>
      <c r="N25" s="141"/>
      <c r="O25" s="141"/>
      <c r="P25" s="141"/>
      <c r="Q25" s="141"/>
      <c r="R25" s="141"/>
    </row>
    <row r="26" spans="1:20" hidden="1" x14ac:dyDescent="0.25">
      <c r="A26" s="206" t="s">
        <v>121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:20" x14ac:dyDescent="0.25">
      <c r="A27" s="271" t="s">
        <v>164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20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20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202"/>
      <c r="O29" s="141"/>
      <c r="P29" s="141"/>
      <c r="Q29" s="141"/>
      <c r="R29" s="141"/>
    </row>
    <row r="30" spans="1:20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202"/>
      <c r="O30" s="141"/>
      <c r="P30" s="141"/>
      <c r="Q30" s="141"/>
      <c r="R30" s="141"/>
    </row>
    <row r="31" spans="1:20" x14ac:dyDescent="0.25">
      <c r="A31" s="47"/>
      <c r="B31" s="174"/>
      <c r="C31" s="174"/>
      <c r="D31" s="134"/>
      <c r="E31" s="134"/>
      <c r="F31" s="134"/>
      <c r="G31" s="203"/>
      <c r="H31" s="204"/>
      <c r="I31" s="205"/>
      <c r="J31" s="134"/>
      <c r="K31" s="40"/>
      <c r="L31" s="40"/>
      <c r="M31" s="40"/>
    </row>
    <row r="32" spans="1:20" x14ac:dyDescent="0.25">
      <c r="N32" s="38"/>
      <c r="Q32" s="55"/>
      <c r="R32" s="67"/>
      <c r="S32" s="56"/>
      <c r="T32" s="68"/>
    </row>
    <row r="33" spans="1:20" x14ac:dyDescent="0.25">
      <c r="A33" s="47"/>
      <c r="B33" s="174"/>
      <c r="C33" s="174"/>
      <c r="D33" s="134"/>
      <c r="E33" s="134"/>
      <c r="F33" s="134"/>
      <c r="G33" s="203"/>
      <c r="H33" s="204"/>
      <c r="I33" s="205"/>
      <c r="J33" s="134"/>
      <c r="K33" s="40"/>
      <c r="L33" s="40"/>
      <c r="M33" s="40"/>
      <c r="Q33" s="55"/>
      <c r="R33" s="67"/>
      <c r="S33" s="56"/>
      <c r="T33" s="68"/>
    </row>
    <row r="34" spans="1:20" x14ac:dyDescent="0.25">
      <c r="Q34" s="55"/>
      <c r="R34" s="67"/>
      <c r="S34" s="56"/>
      <c r="T34" s="68"/>
    </row>
    <row r="35" spans="1:20" x14ac:dyDescent="0.25">
      <c r="Q35" s="55"/>
      <c r="R35" s="67"/>
      <c r="S35" s="56"/>
      <c r="T35" s="68"/>
    </row>
    <row r="36" spans="1:20" x14ac:dyDescent="0.25">
      <c r="Q36" s="55"/>
      <c r="R36" s="67"/>
      <c r="S36" s="56"/>
      <c r="T36" s="68"/>
    </row>
    <row r="37" spans="1:20" x14ac:dyDescent="0.25">
      <c r="Q37" s="55"/>
      <c r="R37" s="67"/>
      <c r="S37" s="56"/>
      <c r="T37" s="68"/>
    </row>
    <row r="38" spans="1:20" x14ac:dyDescent="0.25">
      <c r="Q38" s="55"/>
      <c r="R38" s="67"/>
      <c r="S38" s="56"/>
      <c r="T38" s="68"/>
    </row>
    <row r="39" spans="1:20" x14ac:dyDescent="0.25">
      <c r="Q39" s="55"/>
      <c r="R39" s="67"/>
      <c r="S39" s="56"/>
      <c r="T39" s="68"/>
    </row>
  </sheetData>
  <mergeCells count="9"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72" orientation="portrait" r:id="rId1"/>
  <rowBreaks count="1" manualBreakCount="1">
    <brk id="45" max="9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330" t="s">
        <v>6</v>
      </c>
      <c r="B1" s="330"/>
      <c r="C1" s="330"/>
      <c r="D1" s="330"/>
      <c r="E1" s="330"/>
      <c r="F1" s="330"/>
      <c r="G1" s="330"/>
      <c r="H1" s="330"/>
      <c r="I1" s="330"/>
    </row>
    <row r="2" spans="1:9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</row>
    <row r="3" spans="1:9" x14ac:dyDescent="0.25">
      <c r="A3" s="330" t="s">
        <v>158</v>
      </c>
      <c r="B3" s="330"/>
      <c r="C3" s="330"/>
      <c r="D3" s="330"/>
      <c r="E3" s="330"/>
      <c r="F3" s="330"/>
      <c r="G3" s="330"/>
      <c r="H3" s="330"/>
      <c r="I3" s="330"/>
    </row>
    <row r="4" spans="1:9" x14ac:dyDescent="0.25">
      <c r="A4" s="330" t="s">
        <v>206</v>
      </c>
      <c r="B4" s="330"/>
      <c r="C4" s="330"/>
      <c r="D4" s="330"/>
      <c r="E4" s="330"/>
      <c r="F4" s="330"/>
      <c r="G4" s="330"/>
      <c r="H4" s="330"/>
      <c r="I4" s="330"/>
    </row>
    <row r="5" spans="1:9" x14ac:dyDescent="0.25">
      <c r="A5" s="331" t="s">
        <v>156</v>
      </c>
      <c r="B5" s="331"/>
      <c r="C5" s="331"/>
      <c r="D5" s="331"/>
      <c r="E5" s="331"/>
      <c r="F5" s="331"/>
      <c r="G5" s="331"/>
      <c r="H5" s="331"/>
      <c r="I5" s="331"/>
    </row>
    <row r="6" spans="1:9" x14ac:dyDescent="0.25">
      <c r="A6" s="96"/>
      <c r="B6" s="374" t="s">
        <v>13</v>
      </c>
      <c r="C6" s="374"/>
      <c r="D6" s="373" t="s">
        <v>14</v>
      </c>
      <c r="E6" s="373"/>
      <c r="F6" s="375" t="s">
        <v>132</v>
      </c>
      <c r="G6" s="375"/>
      <c r="H6" s="372" t="s">
        <v>15</v>
      </c>
      <c r="I6" s="372"/>
    </row>
    <row r="7" spans="1:9" ht="34.5" customHeight="1" x14ac:dyDescent="0.25">
      <c r="A7" s="97" t="s">
        <v>1</v>
      </c>
      <c r="B7" s="48" t="s">
        <v>159</v>
      </c>
      <c r="C7" s="48" t="s">
        <v>18</v>
      </c>
      <c r="D7" s="48" t="s">
        <v>159</v>
      </c>
      <c r="E7" s="48" t="s">
        <v>18</v>
      </c>
      <c r="F7" s="48" t="s">
        <v>159</v>
      </c>
      <c r="G7" s="48" t="s">
        <v>18</v>
      </c>
      <c r="H7" s="48" t="s">
        <v>159</v>
      </c>
      <c r="I7" s="48" t="s">
        <v>18</v>
      </c>
    </row>
    <row r="8" spans="1:9" x14ac:dyDescent="0.25">
      <c r="A8" s="47" t="s">
        <v>34</v>
      </c>
      <c r="B8" s="34">
        <v>0</v>
      </c>
      <c r="C8" s="64">
        <v>0</v>
      </c>
      <c r="D8" s="34">
        <v>0</v>
      </c>
      <c r="E8" s="64">
        <v>0</v>
      </c>
      <c r="F8" s="34">
        <v>0</v>
      </c>
      <c r="G8" s="64">
        <v>0</v>
      </c>
      <c r="H8" s="39">
        <f t="shared" ref="H8:I10" si="0">+B8+D8+F8</f>
        <v>0</v>
      </c>
      <c r="I8" s="69">
        <f t="shared" si="0"/>
        <v>0</v>
      </c>
    </row>
    <row r="9" spans="1:9" x14ac:dyDescent="0.25">
      <c r="A9" s="47" t="s">
        <v>35</v>
      </c>
      <c r="B9" s="34">
        <f>4+28+31</f>
        <v>63</v>
      </c>
      <c r="C9" s="64">
        <f>30992+216880.44+240467.76</f>
        <v>488340.2</v>
      </c>
      <c r="D9" s="34">
        <v>3</v>
      </c>
      <c r="E9" s="64">
        <v>224872.69</v>
      </c>
      <c r="F9" s="34">
        <f>2+12</f>
        <v>14</v>
      </c>
      <c r="G9" s="64">
        <f>12000+72000</f>
        <v>84000</v>
      </c>
      <c r="H9" s="39">
        <f t="shared" si="0"/>
        <v>80</v>
      </c>
      <c r="I9" s="69">
        <f t="shared" si="0"/>
        <v>797212.89</v>
      </c>
    </row>
    <row r="10" spans="1:9" x14ac:dyDescent="0.25">
      <c r="A10" s="47" t="s">
        <v>36</v>
      </c>
      <c r="B10" s="34">
        <v>1413</v>
      </c>
      <c r="C10" s="64">
        <v>11172621.32</v>
      </c>
      <c r="D10" s="34">
        <v>34</v>
      </c>
      <c r="E10" s="64">
        <v>278309.3</v>
      </c>
      <c r="F10" s="34">
        <v>1549</v>
      </c>
      <c r="G10" s="64">
        <v>9294000</v>
      </c>
      <c r="H10" s="39">
        <f t="shared" si="0"/>
        <v>2996</v>
      </c>
      <c r="I10" s="39">
        <f t="shared" si="0"/>
        <v>20744930.620000001</v>
      </c>
    </row>
    <row r="11" spans="1:9" x14ac:dyDescent="0.25">
      <c r="A11" s="29" t="s">
        <v>122</v>
      </c>
      <c r="B11" s="41">
        <f t="shared" ref="B11:I11" si="1">SUM(B8:B10)</f>
        <v>1476</v>
      </c>
      <c r="C11" s="41">
        <f t="shared" si="1"/>
        <v>11660961.52</v>
      </c>
      <c r="D11" s="41">
        <f t="shared" si="1"/>
        <v>37</v>
      </c>
      <c r="E11" s="41">
        <f t="shared" si="1"/>
        <v>503181.99</v>
      </c>
      <c r="F11" s="41">
        <f>SUM(F8:F10)</f>
        <v>1563</v>
      </c>
      <c r="G11" s="41">
        <f t="shared" ref="G11" si="2">SUM(G8:G10)</f>
        <v>9378000</v>
      </c>
      <c r="H11" s="41">
        <f>SUM(H8:H10)</f>
        <v>3076</v>
      </c>
      <c r="I11" s="41">
        <f t="shared" si="1"/>
        <v>21542143.510000002</v>
      </c>
    </row>
    <row r="12" spans="1:9" hidden="1" x14ac:dyDescent="0.25">
      <c r="A12" s="47" t="s">
        <v>34</v>
      </c>
      <c r="B12" s="34"/>
      <c r="C12" s="64"/>
      <c r="D12" s="34"/>
      <c r="E12" s="64"/>
      <c r="F12" s="34"/>
      <c r="G12" s="64"/>
      <c r="H12" s="39">
        <f t="shared" ref="H12:I14" si="3">+B12+D12+F12</f>
        <v>0</v>
      </c>
      <c r="I12" s="69">
        <f t="shared" si="3"/>
        <v>0</v>
      </c>
    </row>
    <row r="13" spans="1:9" hidden="1" x14ac:dyDescent="0.25">
      <c r="A13" s="47" t="s">
        <v>35</v>
      </c>
      <c r="B13" s="34"/>
      <c r="C13" s="64"/>
      <c r="D13" s="34"/>
      <c r="E13" s="64"/>
      <c r="F13" s="34"/>
      <c r="G13" s="64"/>
      <c r="H13" s="39">
        <f t="shared" si="3"/>
        <v>0</v>
      </c>
      <c r="I13" s="69">
        <f t="shared" si="3"/>
        <v>0</v>
      </c>
    </row>
    <row r="14" spans="1:9" hidden="1" x14ac:dyDescent="0.25">
      <c r="A14" s="47" t="s">
        <v>36</v>
      </c>
      <c r="B14" s="34"/>
      <c r="C14" s="64"/>
      <c r="D14" s="34"/>
      <c r="E14" s="64"/>
      <c r="F14" s="34"/>
      <c r="G14" s="64"/>
      <c r="H14" s="39">
        <f t="shared" si="3"/>
        <v>0</v>
      </c>
      <c r="I14" s="69">
        <f t="shared" si="3"/>
        <v>0</v>
      </c>
    </row>
    <row r="15" spans="1:9" hidden="1" x14ac:dyDescent="0.25">
      <c r="A15" s="29" t="s">
        <v>122</v>
      </c>
      <c r="B15" s="41">
        <f t="shared" ref="B15:I15" si="4">SUM(B12:B14)</f>
        <v>0</v>
      </c>
      <c r="C15" s="41">
        <f t="shared" si="4"/>
        <v>0</v>
      </c>
      <c r="D15" s="41">
        <f t="shared" si="4"/>
        <v>0</v>
      </c>
      <c r="E15" s="41">
        <f t="shared" si="4"/>
        <v>0</v>
      </c>
      <c r="F15" s="41">
        <f t="shared" ref="F15:G15" si="5">SUM(F12:F14)</f>
        <v>0</v>
      </c>
      <c r="G15" s="41">
        <f t="shared" si="5"/>
        <v>0</v>
      </c>
      <c r="H15" s="41">
        <f t="shared" si="4"/>
        <v>0</v>
      </c>
      <c r="I15" s="41">
        <f t="shared" si="4"/>
        <v>0</v>
      </c>
    </row>
    <row r="16" spans="1:9" hidden="1" x14ac:dyDescent="0.25">
      <c r="A16" s="47" t="s">
        <v>80</v>
      </c>
      <c r="B16" s="34"/>
      <c r="C16" s="64"/>
      <c r="D16" s="34"/>
      <c r="E16" s="64"/>
      <c r="F16" s="34"/>
      <c r="G16" s="64"/>
      <c r="H16" s="39">
        <f t="shared" ref="H16:I18" si="6">+B16+D16+F16</f>
        <v>0</v>
      </c>
      <c r="I16" s="69">
        <f t="shared" si="6"/>
        <v>0</v>
      </c>
    </row>
    <row r="17" spans="1:16" hidden="1" x14ac:dyDescent="0.25">
      <c r="A17" s="47" t="s">
        <v>81</v>
      </c>
      <c r="B17" s="34"/>
      <c r="C17" s="64"/>
      <c r="D17" s="34"/>
      <c r="E17" s="64"/>
      <c r="F17" s="34"/>
      <c r="G17" s="64"/>
      <c r="H17" s="39">
        <f t="shared" si="6"/>
        <v>0</v>
      </c>
      <c r="I17" s="69">
        <f t="shared" si="6"/>
        <v>0</v>
      </c>
    </row>
    <row r="18" spans="1:16" hidden="1" x14ac:dyDescent="0.25">
      <c r="A18" s="47" t="s">
        <v>82</v>
      </c>
      <c r="B18" s="34"/>
      <c r="C18" s="64"/>
      <c r="D18" s="34"/>
      <c r="E18" s="64"/>
      <c r="F18" s="34"/>
      <c r="G18" s="64"/>
      <c r="H18" s="39">
        <f t="shared" si="6"/>
        <v>0</v>
      </c>
      <c r="I18" s="69">
        <f t="shared" si="6"/>
        <v>0</v>
      </c>
    </row>
    <row r="19" spans="1:16" hidden="1" x14ac:dyDescent="0.25">
      <c r="A19" s="29" t="s">
        <v>86</v>
      </c>
      <c r="B19" s="41">
        <f t="shared" ref="B19:E19" si="7">SUM(B16:B18)</f>
        <v>0</v>
      </c>
      <c r="C19" s="41">
        <f t="shared" si="7"/>
        <v>0</v>
      </c>
      <c r="D19" s="41">
        <f t="shared" si="7"/>
        <v>0</v>
      </c>
      <c r="E19" s="41">
        <f t="shared" si="7"/>
        <v>0</v>
      </c>
      <c r="F19" s="41">
        <f t="shared" ref="F19:G19" si="8">SUM(F16:F18)</f>
        <v>0</v>
      </c>
      <c r="G19" s="41">
        <f t="shared" si="8"/>
        <v>0</v>
      </c>
      <c r="H19" s="41">
        <f>SUM(H16:H18)</f>
        <v>0</v>
      </c>
      <c r="I19" s="41">
        <f>SUM(I16:I18)</f>
        <v>0</v>
      </c>
    </row>
    <row r="20" spans="1:16" hidden="1" x14ac:dyDescent="0.25">
      <c r="A20" s="33" t="s">
        <v>83</v>
      </c>
      <c r="B20" s="34"/>
      <c r="C20" s="64"/>
      <c r="D20" s="34"/>
      <c r="E20" s="64"/>
      <c r="F20" s="34"/>
      <c r="G20" s="64"/>
      <c r="H20" s="39">
        <f t="shared" ref="H20:I22" si="9">+B20+D20+F20</f>
        <v>0</v>
      </c>
      <c r="I20" s="69">
        <f t="shared" si="9"/>
        <v>0</v>
      </c>
    </row>
    <row r="21" spans="1:16" hidden="1" x14ac:dyDescent="0.25">
      <c r="A21" s="33" t="s">
        <v>84</v>
      </c>
      <c r="B21" s="34"/>
      <c r="C21" s="64"/>
      <c r="D21" s="34"/>
      <c r="E21" s="64"/>
      <c r="F21" s="34"/>
      <c r="G21" s="64"/>
      <c r="H21" s="39">
        <f t="shared" si="9"/>
        <v>0</v>
      </c>
      <c r="I21" s="69">
        <f t="shared" si="9"/>
        <v>0</v>
      </c>
    </row>
    <row r="22" spans="1:16" hidden="1" x14ac:dyDescent="0.25">
      <c r="A22" s="33" t="s">
        <v>85</v>
      </c>
      <c r="B22" s="34"/>
      <c r="C22" s="64"/>
      <c r="D22" s="34"/>
      <c r="E22" s="64"/>
      <c r="F22" s="34"/>
      <c r="G22" s="64"/>
      <c r="H22" s="39">
        <f t="shared" si="9"/>
        <v>0</v>
      </c>
      <c r="I22" s="69">
        <f t="shared" si="9"/>
        <v>0</v>
      </c>
    </row>
    <row r="23" spans="1:16" hidden="1" x14ac:dyDescent="0.25">
      <c r="A23" s="12" t="s">
        <v>87</v>
      </c>
      <c r="B23" s="41">
        <f t="shared" ref="B23:I23" si="10">SUM(B20:B22)</f>
        <v>0</v>
      </c>
      <c r="C23" s="41">
        <f t="shared" si="10"/>
        <v>0</v>
      </c>
      <c r="D23" s="41">
        <f t="shared" si="10"/>
        <v>0</v>
      </c>
      <c r="E23" s="41">
        <f t="shared" si="10"/>
        <v>0</v>
      </c>
      <c r="F23" s="41">
        <f t="shared" ref="F23:G23" si="11">SUM(F20:F22)</f>
        <v>0</v>
      </c>
      <c r="G23" s="41">
        <f t="shared" si="11"/>
        <v>0</v>
      </c>
      <c r="H23" s="41">
        <f t="shared" si="10"/>
        <v>0</v>
      </c>
      <c r="I23" s="41">
        <f t="shared" si="10"/>
        <v>0</v>
      </c>
    </row>
    <row r="24" spans="1:16" hidden="1" x14ac:dyDescent="0.25">
      <c r="A24" s="65" t="s">
        <v>9</v>
      </c>
      <c r="B24" s="43">
        <f>+B11+B15+B19+B23</f>
        <v>1476</v>
      </c>
      <c r="C24" s="43">
        <f>+C11+C15+C19+C23</f>
        <v>11660961.52</v>
      </c>
      <c r="D24" s="43">
        <f t="shared" ref="D24:I24" si="12">+D11+D15+D19+D23</f>
        <v>37</v>
      </c>
      <c r="E24" s="43">
        <f t="shared" si="12"/>
        <v>503181.99</v>
      </c>
      <c r="F24" s="43">
        <f t="shared" si="12"/>
        <v>1563</v>
      </c>
      <c r="G24" s="43">
        <f t="shared" si="12"/>
        <v>9378000</v>
      </c>
      <c r="H24" s="43">
        <f>+H11+H15+H19+H23</f>
        <v>3076</v>
      </c>
      <c r="I24" s="43">
        <f t="shared" si="12"/>
        <v>21542143.510000002</v>
      </c>
    </row>
    <row r="25" spans="1:16" hidden="1" x14ac:dyDescent="0.25">
      <c r="A25" s="66" t="s">
        <v>160</v>
      </c>
    </row>
    <row r="26" spans="1:16" x14ac:dyDescent="0.25">
      <c r="A26" s="15" t="s">
        <v>164</v>
      </c>
      <c r="E26" s="38"/>
      <c r="G26" s="38"/>
    </row>
    <row r="32" spans="1:16" x14ac:dyDescent="0.25">
      <c r="M32" s="55">
        <v>32154</v>
      </c>
      <c r="N32" s="67" t="e">
        <f t="shared" ref="N32:N39" si="13">M32/$B$29*100</f>
        <v>#DIV/0!</v>
      </c>
      <c r="O32" s="56">
        <v>386810064.19999999</v>
      </c>
      <c r="P32" s="68" t="e">
        <f>O32/O40*100</f>
        <v>#DIV/0!</v>
      </c>
    </row>
    <row r="33" spans="13:16" x14ac:dyDescent="0.25">
      <c r="M33" s="55">
        <v>56199</v>
      </c>
      <c r="N33" s="67" t="e">
        <f t="shared" si="13"/>
        <v>#DIV/0!</v>
      </c>
      <c r="O33" s="56">
        <v>471111842.94</v>
      </c>
      <c r="P33" s="68" t="e">
        <f>O33/O40*100</f>
        <v>#DIV/0!</v>
      </c>
    </row>
    <row r="34" spans="13:16" x14ac:dyDescent="0.25">
      <c r="M34" s="55">
        <v>297</v>
      </c>
      <c r="N34" s="67" t="e">
        <f t="shared" si="13"/>
        <v>#DIV/0!</v>
      </c>
      <c r="O34" s="56">
        <v>5010228</v>
      </c>
      <c r="P34" s="68" t="e">
        <f>O34/O40*100</f>
        <v>#DIV/0!</v>
      </c>
    </row>
    <row r="35" spans="13:16" x14ac:dyDescent="0.25">
      <c r="M35" s="55">
        <v>163</v>
      </c>
      <c r="N35" s="67" t="e">
        <f t="shared" si="13"/>
        <v>#DIV/0!</v>
      </c>
      <c r="O35" s="56">
        <v>4392328.91</v>
      </c>
      <c r="P35" s="68" t="e">
        <f>O35/O40*100</f>
        <v>#DIV/0!</v>
      </c>
    </row>
    <row r="36" spans="13:16" x14ac:dyDescent="0.25">
      <c r="M36" s="55">
        <v>366</v>
      </c>
      <c r="N36" s="67" t="e">
        <f t="shared" si="13"/>
        <v>#DIV/0!</v>
      </c>
      <c r="O36" s="56">
        <v>9034522.6500000004</v>
      </c>
      <c r="P36" s="68" t="e">
        <f>O36/O40*100</f>
        <v>#DIV/0!</v>
      </c>
    </row>
    <row r="37" spans="13:16" x14ac:dyDescent="0.25">
      <c r="M37" s="55">
        <v>17249</v>
      </c>
      <c r="N37" s="67" t="e">
        <f t="shared" si="13"/>
        <v>#DIV/0!</v>
      </c>
      <c r="O37" s="56">
        <v>405400068.69</v>
      </c>
      <c r="P37" s="68" t="e">
        <f>O37/O40*100</f>
        <v>#DIV/0!</v>
      </c>
    </row>
    <row r="38" spans="13:16" x14ac:dyDescent="0.25">
      <c r="M38" s="55">
        <v>18745</v>
      </c>
      <c r="N38" s="67" t="e">
        <f t="shared" si="13"/>
        <v>#DIV/0!</v>
      </c>
      <c r="O38" s="56">
        <v>369724631.60000002</v>
      </c>
      <c r="P38" s="68" t="e">
        <f>O38/O40*100</f>
        <v>#DIV/0!</v>
      </c>
    </row>
    <row r="39" spans="13:16" x14ac:dyDescent="0.25">
      <c r="M39" s="55">
        <v>15130</v>
      </c>
      <c r="N39" s="67" t="e">
        <f t="shared" si="13"/>
        <v>#DIV/0!</v>
      </c>
      <c r="O39" s="56">
        <v>151015428.50999999</v>
      </c>
      <c r="P39" s="68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330" t="s">
        <v>6</v>
      </c>
      <c r="B1" s="330"/>
      <c r="C1" s="330"/>
      <c r="D1" s="330"/>
      <c r="E1" s="330"/>
      <c r="F1" s="330"/>
      <c r="G1" s="330"/>
      <c r="H1" s="330"/>
      <c r="I1" s="330"/>
    </row>
    <row r="2" spans="1:9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</row>
    <row r="3" spans="1:9" x14ac:dyDescent="0.25">
      <c r="A3" s="330" t="s">
        <v>161</v>
      </c>
      <c r="B3" s="330"/>
      <c r="C3" s="330"/>
      <c r="D3" s="330"/>
      <c r="E3" s="330"/>
      <c r="F3" s="330"/>
      <c r="G3" s="330"/>
      <c r="H3" s="330"/>
      <c r="I3" s="330"/>
    </row>
    <row r="4" spans="1:9" x14ac:dyDescent="0.25">
      <c r="A4" s="330" t="s">
        <v>157</v>
      </c>
      <c r="B4" s="330"/>
      <c r="C4" s="330"/>
      <c r="D4" s="330"/>
      <c r="E4" s="330"/>
      <c r="F4" s="330"/>
      <c r="G4" s="330"/>
      <c r="H4" s="330"/>
      <c r="I4" s="330"/>
    </row>
    <row r="5" spans="1:9" x14ac:dyDescent="0.25">
      <c r="A5" s="331" t="s">
        <v>156</v>
      </c>
      <c r="B5" s="331"/>
      <c r="C5" s="331"/>
      <c r="D5" s="331"/>
      <c r="E5" s="331"/>
      <c r="F5" s="331"/>
      <c r="G5" s="331"/>
      <c r="H5" s="331"/>
      <c r="I5" s="331"/>
    </row>
    <row r="6" spans="1:9" x14ac:dyDescent="0.25">
      <c r="A6" s="96"/>
      <c r="B6" s="374" t="s">
        <v>13</v>
      </c>
      <c r="C6" s="374"/>
      <c r="D6" s="373" t="s">
        <v>14</v>
      </c>
      <c r="E6" s="373"/>
      <c r="F6" s="375" t="s">
        <v>132</v>
      </c>
      <c r="G6" s="375"/>
      <c r="H6" s="372" t="s">
        <v>15</v>
      </c>
      <c r="I6" s="372"/>
    </row>
    <row r="7" spans="1:9" ht="34.5" customHeight="1" x14ac:dyDescent="0.25">
      <c r="A7" s="97" t="s">
        <v>1</v>
      </c>
      <c r="B7" s="48" t="s">
        <v>162</v>
      </c>
      <c r="C7" s="48" t="s">
        <v>18</v>
      </c>
      <c r="D7" s="48" t="s">
        <v>162</v>
      </c>
      <c r="E7" s="48" t="s">
        <v>18</v>
      </c>
      <c r="F7" s="48" t="s">
        <v>162</v>
      </c>
      <c r="G7" s="48" t="s">
        <v>18</v>
      </c>
      <c r="H7" s="48" t="s">
        <v>162</v>
      </c>
      <c r="I7" s="48" t="s">
        <v>18</v>
      </c>
    </row>
    <row r="8" spans="1:9" x14ac:dyDescent="0.25">
      <c r="A8" s="47" t="s">
        <v>34</v>
      </c>
      <c r="B8" s="34">
        <v>0</v>
      </c>
      <c r="C8" s="64">
        <v>0</v>
      </c>
      <c r="D8" s="34">
        <v>0</v>
      </c>
      <c r="E8" s="64">
        <v>0</v>
      </c>
      <c r="F8" s="34">
        <v>0</v>
      </c>
      <c r="G8" s="64">
        <v>0</v>
      </c>
      <c r="H8" s="39">
        <f t="shared" ref="H8:I10" si="0">+B8+D8+F8</f>
        <v>0</v>
      </c>
      <c r="I8" s="69">
        <f t="shared" si="0"/>
        <v>0</v>
      </c>
    </row>
    <row r="9" spans="1:9" x14ac:dyDescent="0.25">
      <c r="A9" s="47" t="s">
        <v>35</v>
      </c>
      <c r="B9" s="34">
        <v>36</v>
      </c>
      <c r="C9" s="64">
        <v>386001.61</v>
      </c>
      <c r="D9" s="34">
        <v>2</v>
      </c>
      <c r="E9" s="64">
        <v>16030.61</v>
      </c>
      <c r="F9" s="34">
        <v>2</v>
      </c>
      <c r="G9" s="64">
        <v>12000</v>
      </c>
      <c r="H9" s="39">
        <f t="shared" si="0"/>
        <v>40</v>
      </c>
      <c r="I9" s="69">
        <f t="shared" si="0"/>
        <v>414032.22</v>
      </c>
    </row>
    <row r="10" spans="1:9" x14ac:dyDescent="0.25">
      <c r="A10" s="47" t="s">
        <v>36</v>
      </c>
      <c r="B10" s="34">
        <v>131</v>
      </c>
      <c r="C10" s="64">
        <v>1444844.33</v>
      </c>
      <c r="D10" s="34">
        <v>5</v>
      </c>
      <c r="E10" s="64">
        <v>110598.45</v>
      </c>
      <c r="F10" s="34">
        <v>6</v>
      </c>
      <c r="G10" s="64">
        <v>36000</v>
      </c>
      <c r="H10" s="39">
        <f t="shared" si="0"/>
        <v>142</v>
      </c>
      <c r="I10" s="39">
        <f t="shared" si="0"/>
        <v>1591442.78</v>
      </c>
    </row>
    <row r="11" spans="1:9" x14ac:dyDescent="0.25">
      <c r="A11" s="29" t="s">
        <v>122</v>
      </c>
      <c r="B11" s="41">
        <f t="shared" ref="B11:I11" si="1">SUM(B8:B10)</f>
        <v>167</v>
      </c>
      <c r="C11" s="41">
        <f t="shared" si="1"/>
        <v>1830845.94</v>
      </c>
      <c r="D11" s="41">
        <f t="shared" si="1"/>
        <v>7</v>
      </c>
      <c r="E11" s="41">
        <f t="shared" si="1"/>
        <v>126629.06</v>
      </c>
      <c r="F11" s="41">
        <f>SUM(F8:F10)</f>
        <v>8</v>
      </c>
      <c r="G11" s="41">
        <f t="shared" ref="G11" si="2">SUM(G8:G10)</f>
        <v>48000</v>
      </c>
      <c r="H11" s="41">
        <f t="shared" si="1"/>
        <v>182</v>
      </c>
      <c r="I11" s="41">
        <f t="shared" si="1"/>
        <v>2005475</v>
      </c>
    </row>
    <row r="12" spans="1:9" hidden="1" x14ac:dyDescent="0.25">
      <c r="A12" s="47" t="s">
        <v>34</v>
      </c>
      <c r="B12" s="34">
        <v>52</v>
      </c>
      <c r="C12" s="64">
        <v>621254.41</v>
      </c>
      <c r="D12" s="34">
        <v>2</v>
      </c>
      <c r="E12" s="64">
        <v>15128.119999999999</v>
      </c>
      <c r="F12" s="34"/>
      <c r="G12" s="64"/>
      <c r="H12" s="39">
        <f t="shared" ref="H12:I14" si="3">+B12+D12+F12</f>
        <v>54</v>
      </c>
      <c r="I12" s="69">
        <f t="shared" si="3"/>
        <v>636382.53</v>
      </c>
    </row>
    <row r="13" spans="1:9" hidden="1" x14ac:dyDescent="0.25">
      <c r="A13" s="47" t="s">
        <v>35</v>
      </c>
      <c r="B13" s="34"/>
      <c r="C13" s="64"/>
      <c r="D13" s="34"/>
      <c r="E13" s="64"/>
      <c r="F13" s="34"/>
      <c r="G13" s="64"/>
      <c r="H13" s="39">
        <f t="shared" si="3"/>
        <v>0</v>
      </c>
      <c r="I13" s="69">
        <f t="shared" si="3"/>
        <v>0</v>
      </c>
    </row>
    <row r="14" spans="1:9" hidden="1" x14ac:dyDescent="0.25">
      <c r="A14" s="47" t="s">
        <v>36</v>
      </c>
      <c r="B14" s="34"/>
      <c r="C14" s="64"/>
      <c r="D14" s="34"/>
      <c r="E14" s="64"/>
      <c r="F14" s="34"/>
      <c r="G14" s="64"/>
      <c r="H14" s="39">
        <f t="shared" si="3"/>
        <v>0</v>
      </c>
      <c r="I14" s="69">
        <f t="shared" si="3"/>
        <v>0</v>
      </c>
    </row>
    <row r="15" spans="1:9" hidden="1" x14ac:dyDescent="0.25">
      <c r="A15" s="29" t="s">
        <v>122</v>
      </c>
      <c r="B15" s="41">
        <f t="shared" ref="B15:I15" si="4">SUM(B12:B14)</f>
        <v>52</v>
      </c>
      <c r="C15" s="41">
        <f t="shared" si="4"/>
        <v>621254.41</v>
      </c>
      <c r="D15" s="41">
        <f t="shared" si="4"/>
        <v>2</v>
      </c>
      <c r="E15" s="41">
        <f t="shared" si="4"/>
        <v>15128.119999999999</v>
      </c>
      <c r="F15" s="41">
        <f t="shared" ref="F15:G15" si="5">SUM(F12:F14)</f>
        <v>0</v>
      </c>
      <c r="G15" s="41">
        <f t="shared" si="5"/>
        <v>0</v>
      </c>
      <c r="H15" s="41">
        <f t="shared" si="4"/>
        <v>54</v>
      </c>
      <c r="I15" s="41">
        <f t="shared" si="4"/>
        <v>636382.53</v>
      </c>
    </row>
    <row r="16" spans="1:9" hidden="1" x14ac:dyDescent="0.25">
      <c r="A16" s="47" t="s">
        <v>80</v>
      </c>
      <c r="B16" s="34"/>
      <c r="C16" s="64"/>
      <c r="D16" s="34"/>
      <c r="E16" s="64"/>
      <c r="F16" s="34"/>
      <c r="G16" s="64"/>
      <c r="H16" s="39">
        <f t="shared" ref="H16:I18" si="6">+B16+D16+F16</f>
        <v>0</v>
      </c>
      <c r="I16" s="69">
        <f t="shared" si="6"/>
        <v>0</v>
      </c>
    </row>
    <row r="17" spans="1:16" hidden="1" x14ac:dyDescent="0.25">
      <c r="A17" s="47" t="s">
        <v>81</v>
      </c>
      <c r="B17" s="34"/>
      <c r="C17" s="64"/>
      <c r="D17" s="34"/>
      <c r="E17" s="64"/>
      <c r="F17" s="34"/>
      <c r="G17" s="64"/>
      <c r="H17" s="39">
        <f t="shared" si="6"/>
        <v>0</v>
      </c>
      <c r="I17" s="69">
        <f t="shared" si="6"/>
        <v>0</v>
      </c>
    </row>
    <row r="18" spans="1:16" hidden="1" x14ac:dyDescent="0.25">
      <c r="A18" s="47" t="s">
        <v>82</v>
      </c>
      <c r="B18" s="34"/>
      <c r="C18" s="64"/>
      <c r="D18" s="34"/>
      <c r="E18" s="64"/>
      <c r="F18" s="34"/>
      <c r="G18" s="64"/>
      <c r="H18" s="39">
        <f t="shared" si="6"/>
        <v>0</v>
      </c>
      <c r="I18" s="69">
        <f t="shared" si="6"/>
        <v>0</v>
      </c>
    </row>
    <row r="19" spans="1:16" hidden="1" x14ac:dyDescent="0.25">
      <c r="A19" s="29" t="s">
        <v>86</v>
      </c>
      <c r="B19" s="41">
        <f t="shared" ref="B19:E19" si="7">SUM(B16:B18)</f>
        <v>0</v>
      </c>
      <c r="C19" s="41">
        <f t="shared" si="7"/>
        <v>0</v>
      </c>
      <c r="D19" s="41">
        <f t="shared" si="7"/>
        <v>0</v>
      </c>
      <c r="E19" s="41">
        <f t="shared" si="7"/>
        <v>0</v>
      </c>
      <c r="F19" s="41">
        <f t="shared" ref="F19:G19" si="8">SUM(F16:F18)</f>
        <v>0</v>
      </c>
      <c r="G19" s="41">
        <f t="shared" si="8"/>
        <v>0</v>
      </c>
      <c r="H19" s="41">
        <f>SUM(H16:H18)</f>
        <v>0</v>
      </c>
      <c r="I19" s="41">
        <f>SUM(I16:I18)</f>
        <v>0</v>
      </c>
    </row>
    <row r="20" spans="1:16" hidden="1" x14ac:dyDescent="0.25">
      <c r="A20" s="33" t="s">
        <v>83</v>
      </c>
      <c r="B20" s="34"/>
      <c r="C20" s="64"/>
      <c r="D20" s="34"/>
      <c r="E20" s="64"/>
      <c r="F20" s="34"/>
      <c r="G20" s="64"/>
      <c r="H20" s="39">
        <f t="shared" ref="H20:I22" si="9">+B20+D20+F20</f>
        <v>0</v>
      </c>
      <c r="I20" s="69">
        <f t="shared" si="9"/>
        <v>0</v>
      </c>
    </row>
    <row r="21" spans="1:16" hidden="1" x14ac:dyDescent="0.25">
      <c r="A21" s="33" t="s">
        <v>84</v>
      </c>
      <c r="B21" s="34"/>
      <c r="C21" s="64"/>
      <c r="D21" s="34"/>
      <c r="E21" s="64"/>
      <c r="F21" s="34"/>
      <c r="G21" s="64"/>
      <c r="H21" s="39">
        <f t="shared" si="9"/>
        <v>0</v>
      </c>
      <c r="I21" s="69">
        <f t="shared" si="9"/>
        <v>0</v>
      </c>
    </row>
    <row r="22" spans="1:16" hidden="1" x14ac:dyDescent="0.25">
      <c r="A22" s="33" t="s">
        <v>85</v>
      </c>
      <c r="B22" s="34"/>
      <c r="C22" s="64"/>
      <c r="D22" s="34"/>
      <c r="E22" s="64"/>
      <c r="F22" s="34"/>
      <c r="G22" s="64"/>
      <c r="H22" s="39">
        <f t="shared" si="9"/>
        <v>0</v>
      </c>
      <c r="I22" s="69">
        <f t="shared" si="9"/>
        <v>0</v>
      </c>
    </row>
    <row r="23" spans="1:16" hidden="1" x14ac:dyDescent="0.25">
      <c r="A23" s="12" t="s">
        <v>87</v>
      </c>
      <c r="B23" s="41">
        <f t="shared" ref="B23:I23" si="10">SUM(B20:B22)</f>
        <v>0</v>
      </c>
      <c r="C23" s="41">
        <f t="shared" si="10"/>
        <v>0</v>
      </c>
      <c r="D23" s="41">
        <f t="shared" si="10"/>
        <v>0</v>
      </c>
      <c r="E23" s="41">
        <f t="shared" si="10"/>
        <v>0</v>
      </c>
      <c r="F23" s="41">
        <f t="shared" ref="F23:G23" si="11">SUM(F20:F22)</f>
        <v>0</v>
      </c>
      <c r="G23" s="41">
        <f t="shared" si="11"/>
        <v>0</v>
      </c>
      <c r="H23" s="41">
        <f t="shared" si="10"/>
        <v>0</v>
      </c>
      <c r="I23" s="41">
        <f t="shared" si="10"/>
        <v>0</v>
      </c>
    </row>
    <row r="24" spans="1:16" hidden="1" x14ac:dyDescent="0.25">
      <c r="A24" s="65" t="s">
        <v>9</v>
      </c>
      <c r="B24" s="43">
        <f>+B11+B15+B19+B23</f>
        <v>219</v>
      </c>
      <c r="C24" s="43">
        <f>+C11+C15+C19+C23</f>
        <v>2452100.35</v>
      </c>
      <c r="D24" s="43">
        <f t="shared" ref="D24:I24" si="12">+D11+D15+D19+D23</f>
        <v>9</v>
      </c>
      <c r="E24" s="43">
        <f t="shared" si="12"/>
        <v>141757.18</v>
      </c>
      <c r="F24" s="43">
        <f t="shared" si="12"/>
        <v>8</v>
      </c>
      <c r="G24" s="43">
        <f t="shared" si="12"/>
        <v>48000</v>
      </c>
      <c r="H24" s="43">
        <f>+H11+H15+H19+H23</f>
        <v>236</v>
      </c>
      <c r="I24" s="43">
        <f t="shared" si="12"/>
        <v>2641857.5300000003</v>
      </c>
    </row>
    <row r="25" spans="1:16" x14ac:dyDescent="0.25">
      <c r="A25" s="15" t="s">
        <v>164</v>
      </c>
    </row>
    <row r="26" spans="1:16" x14ac:dyDescent="0.25">
      <c r="E26" s="38"/>
      <c r="G26" s="38"/>
    </row>
    <row r="32" spans="1:16" x14ac:dyDescent="0.25">
      <c r="M32" s="55">
        <v>32154</v>
      </c>
      <c r="N32" s="67" t="e">
        <f t="shared" ref="N32:N39" si="13">M32/$B$29*100</f>
        <v>#DIV/0!</v>
      </c>
      <c r="O32" s="56">
        <v>386810064.19999999</v>
      </c>
      <c r="P32" s="68" t="e">
        <f>O32/O40*100</f>
        <v>#DIV/0!</v>
      </c>
    </row>
    <row r="33" spans="13:16" x14ac:dyDescent="0.25">
      <c r="M33" s="55">
        <v>56199</v>
      </c>
      <c r="N33" s="67" t="e">
        <f t="shared" si="13"/>
        <v>#DIV/0!</v>
      </c>
      <c r="O33" s="56">
        <v>471111842.94</v>
      </c>
      <c r="P33" s="68" t="e">
        <f>O33/O40*100</f>
        <v>#DIV/0!</v>
      </c>
    </row>
    <row r="34" spans="13:16" x14ac:dyDescent="0.25">
      <c r="M34" s="55">
        <v>297</v>
      </c>
      <c r="N34" s="67" t="e">
        <f t="shared" si="13"/>
        <v>#DIV/0!</v>
      </c>
      <c r="O34" s="56">
        <v>5010228</v>
      </c>
      <c r="P34" s="68" t="e">
        <f>O34/O40*100</f>
        <v>#DIV/0!</v>
      </c>
    </row>
    <row r="35" spans="13:16" x14ac:dyDescent="0.25">
      <c r="M35" s="55">
        <v>163</v>
      </c>
      <c r="N35" s="67" t="e">
        <f t="shared" si="13"/>
        <v>#DIV/0!</v>
      </c>
      <c r="O35" s="56">
        <v>4392328.91</v>
      </c>
      <c r="P35" s="68" t="e">
        <f>O35/O40*100</f>
        <v>#DIV/0!</v>
      </c>
    </row>
    <row r="36" spans="13:16" x14ac:dyDescent="0.25">
      <c r="M36" s="55">
        <v>366</v>
      </c>
      <c r="N36" s="67" t="e">
        <f t="shared" si="13"/>
        <v>#DIV/0!</v>
      </c>
      <c r="O36" s="56">
        <v>9034522.6500000004</v>
      </c>
      <c r="P36" s="68" t="e">
        <f>O36/O40*100</f>
        <v>#DIV/0!</v>
      </c>
    </row>
    <row r="37" spans="13:16" x14ac:dyDescent="0.25">
      <c r="M37" s="55">
        <v>17249</v>
      </c>
      <c r="N37" s="67" t="e">
        <f t="shared" si="13"/>
        <v>#DIV/0!</v>
      </c>
      <c r="O37" s="56">
        <v>405400068.69</v>
      </c>
      <c r="P37" s="68" t="e">
        <f>O37/O40*100</f>
        <v>#DIV/0!</v>
      </c>
    </row>
    <row r="38" spans="13:16" x14ac:dyDescent="0.25">
      <c r="M38" s="55">
        <v>18745</v>
      </c>
      <c r="N38" s="67" t="e">
        <f t="shared" si="13"/>
        <v>#DIV/0!</v>
      </c>
      <c r="O38" s="56">
        <v>369724631.60000002</v>
      </c>
      <c r="P38" s="68" t="e">
        <f>O38/O40*100</f>
        <v>#DIV/0!</v>
      </c>
    </row>
    <row r="39" spans="13:16" x14ac:dyDescent="0.25">
      <c r="M39" s="55">
        <v>15130</v>
      </c>
      <c r="N39" s="67" t="e">
        <f t="shared" si="13"/>
        <v>#DIV/0!</v>
      </c>
      <c r="O39" s="56">
        <v>151015428.50999999</v>
      </c>
      <c r="P39" s="68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J61"/>
  <sheetViews>
    <sheetView showGridLines="0" tabSelected="1" zoomScale="115" zoomScaleNormal="115" workbookViewId="0">
      <selection activeCell="C12" sqref="C12"/>
    </sheetView>
  </sheetViews>
  <sheetFormatPr baseColWidth="10" defaultColWidth="9.140625" defaultRowHeight="15" x14ac:dyDescent="0.25"/>
  <cols>
    <col min="1" max="7" width="13.140625" style="1" customWidth="1"/>
    <col min="8" max="16384" width="9.140625" style="1"/>
  </cols>
  <sheetData>
    <row r="1" spans="1:10" x14ac:dyDescent="0.25">
      <c r="A1" s="330" t="s">
        <v>0</v>
      </c>
      <c r="B1" s="330"/>
      <c r="C1" s="330"/>
      <c r="D1" s="330"/>
      <c r="E1" s="330"/>
      <c r="F1" s="330"/>
      <c r="G1" s="330"/>
      <c r="H1" s="22"/>
      <c r="I1" s="22"/>
      <c r="J1" s="22"/>
    </row>
    <row r="2" spans="1:10" x14ac:dyDescent="0.25">
      <c r="A2" s="330" t="s">
        <v>113</v>
      </c>
      <c r="B2" s="330"/>
      <c r="C2" s="330"/>
      <c r="D2" s="330"/>
      <c r="E2" s="330"/>
      <c r="F2" s="330"/>
      <c r="G2" s="330"/>
      <c r="H2" s="22"/>
      <c r="I2" s="22"/>
      <c r="J2" s="22"/>
    </row>
    <row r="3" spans="1:10" x14ac:dyDescent="0.25">
      <c r="A3" s="330" t="s">
        <v>154</v>
      </c>
      <c r="B3" s="330"/>
      <c r="C3" s="330"/>
      <c r="D3" s="330"/>
      <c r="E3" s="330"/>
      <c r="F3" s="330"/>
      <c r="G3" s="330"/>
      <c r="H3" s="22"/>
      <c r="I3" s="22"/>
      <c r="J3" s="22"/>
    </row>
    <row r="4" spans="1:10" x14ac:dyDescent="0.25">
      <c r="A4" s="330" t="s">
        <v>242</v>
      </c>
      <c r="B4" s="330"/>
      <c r="C4" s="330"/>
      <c r="D4" s="330"/>
      <c r="E4" s="330"/>
      <c r="F4" s="330"/>
      <c r="G4" s="330"/>
      <c r="H4" s="22"/>
      <c r="I4" s="22"/>
      <c r="J4" s="22"/>
    </row>
    <row r="5" spans="1:10" x14ac:dyDescent="0.25">
      <c r="A5" s="331" t="s">
        <v>218</v>
      </c>
      <c r="B5" s="331"/>
      <c r="C5" s="331"/>
      <c r="D5" s="331"/>
      <c r="E5" s="331"/>
      <c r="F5" s="331"/>
      <c r="G5" s="331"/>
      <c r="H5" s="23"/>
      <c r="I5" s="23"/>
      <c r="J5" s="23"/>
    </row>
    <row r="6" spans="1:10" ht="51" x14ac:dyDescent="0.25">
      <c r="A6" s="97" t="s">
        <v>1</v>
      </c>
      <c r="B6" s="48" t="s">
        <v>50</v>
      </c>
      <c r="C6" s="48" t="s">
        <v>51</v>
      </c>
      <c r="D6" s="48" t="s">
        <v>52</v>
      </c>
      <c r="E6" s="48" t="s">
        <v>53</v>
      </c>
      <c r="F6" s="48" t="s">
        <v>54</v>
      </c>
      <c r="G6" s="207" t="s">
        <v>30</v>
      </c>
      <c r="H6" s="141"/>
    </row>
    <row r="7" spans="1:10" x14ac:dyDescent="0.25">
      <c r="A7" s="307" t="s">
        <v>241</v>
      </c>
      <c r="B7" s="267">
        <v>78</v>
      </c>
      <c r="C7" s="273">
        <v>4659537.5699999994</v>
      </c>
      <c r="D7" s="273">
        <v>2658468.39</v>
      </c>
      <c r="E7" s="273">
        <v>1639483.3199999998</v>
      </c>
      <c r="F7" s="237">
        <f>E7+D7</f>
        <v>4297951.71</v>
      </c>
      <c r="G7" s="71">
        <f t="shared" ref="G7" si="0">F7/C7</f>
        <v>0.92239876713774427</v>
      </c>
      <c r="H7" s="141"/>
    </row>
    <row r="8" spans="1:10" x14ac:dyDescent="0.25">
      <c r="A8" s="74" t="s">
        <v>81</v>
      </c>
      <c r="B8" s="267">
        <v>111</v>
      </c>
      <c r="C8" s="273">
        <v>4942768.88</v>
      </c>
      <c r="D8" s="273">
        <v>2502721.2800000003</v>
      </c>
      <c r="E8" s="273">
        <v>936890.10999999987</v>
      </c>
      <c r="F8" s="237">
        <f>E8+D8</f>
        <v>3439611.39</v>
      </c>
      <c r="G8" s="71">
        <f>F8/C8</f>
        <v>0.69588756292404275</v>
      </c>
      <c r="H8" s="141"/>
    </row>
    <row r="9" spans="1:10" x14ac:dyDescent="0.25">
      <c r="A9" s="74" t="s">
        <v>80</v>
      </c>
      <c r="B9" s="267">
        <v>136</v>
      </c>
      <c r="C9" s="273">
        <v>9574262.7499999981</v>
      </c>
      <c r="D9" s="273">
        <v>1320134.1199999999</v>
      </c>
      <c r="E9" s="268">
        <v>979791.88000000012</v>
      </c>
      <c r="F9" s="237">
        <f>E9+D9</f>
        <v>2299926</v>
      </c>
      <c r="G9" s="71">
        <f>F9/C9</f>
        <v>0.24021964511053348</v>
      </c>
      <c r="H9" s="141"/>
    </row>
    <row r="10" spans="1:10" x14ac:dyDescent="0.25">
      <c r="A10" s="29" t="s">
        <v>86</v>
      </c>
      <c r="B10" s="8">
        <f>SUM(B7:B9)</f>
        <v>325</v>
      </c>
      <c r="C10" s="274">
        <f>SUM(C7:C9)</f>
        <v>19176569.199999996</v>
      </c>
      <c r="D10" s="73">
        <f>SUM(D7:D9)</f>
        <v>6481323.79</v>
      </c>
      <c r="E10" s="73">
        <f>SUM(E7:E9)</f>
        <v>3556165.3099999996</v>
      </c>
      <c r="F10" s="238">
        <f>SUM(F7:F9)</f>
        <v>10037489.1</v>
      </c>
      <c r="G10" s="16">
        <f t="shared" ref="G10:G23" si="1">F10/C10</f>
        <v>0.52342465408254579</v>
      </c>
      <c r="H10" s="141"/>
    </row>
    <row r="11" spans="1:10" hidden="1" x14ac:dyDescent="0.25">
      <c r="A11" s="74" t="s">
        <v>34</v>
      </c>
      <c r="B11" s="208"/>
      <c r="C11" s="210"/>
      <c r="D11" s="210"/>
      <c r="E11" s="210"/>
      <c r="F11" s="70">
        <f>E11+D11</f>
        <v>0</v>
      </c>
      <c r="G11" s="71" t="e">
        <f t="shared" si="1"/>
        <v>#DIV/0!</v>
      </c>
      <c r="H11" s="141"/>
    </row>
    <row r="12" spans="1:10" hidden="1" x14ac:dyDescent="0.25">
      <c r="A12" s="74" t="s">
        <v>35</v>
      </c>
      <c r="B12" s="208"/>
      <c r="C12" s="210"/>
      <c r="D12" s="210"/>
      <c r="E12" s="210"/>
      <c r="F12" s="70">
        <f>E12+D12</f>
        <v>0</v>
      </c>
      <c r="G12" s="71" t="e">
        <f t="shared" si="1"/>
        <v>#DIV/0!</v>
      </c>
      <c r="H12" s="141"/>
    </row>
    <row r="13" spans="1:10" hidden="1" x14ac:dyDescent="0.25">
      <c r="A13" s="74" t="s">
        <v>36</v>
      </c>
      <c r="B13" s="208"/>
      <c r="C13" s="210"/>
      <c r="D13" s="173"/>
      <c r="E13" s="173"/>
      <c r="F13" s="72">
        <f>E13+D13</f>
        <v>0</v>
      </c>
      <c r="G13" s="71" t="e">
        <f t="shared" si="1"/>
        <v>#DIV/0!</v>
      </c>
      <c r="H13" s="141"/>
    </row>
    <row r="14" spans="1:10" hidden="1" x14ac:dyDescent="0.25">
      <c r="A14" s="29" t="s">
        <v>122</v>
      </c>
      <c r="B14" s="8">
        <f>SUM(B11:B13)</f>
        <v>0</v>
      </c>
      <c r="C14" s="73">
        <f>SUM(C11:C13)</f>
        <v>0</v>
      </c>
      <c r="D14" s="73">
        <f>SUM(D11:D13)</f>
        <v>0</v>
      </c>
      <c r="E14" s="73">
        <f>SUM(E11:E13)</f>
        <v>0</v>
      </c>
      <c r="F14" s="73">
        <f>SUM(F11:F13)</f>
        <v>0</v>
      </c>
      <c r="G14" s="16" t="e">
        <f t="shared" si="1"/>
        <v>#DIV/0!</v>
      </c>
      <c r="H14" s="141"/>
    </row>
    <row r="15" spans="1:10" hidden="1" x14ac:dyDescent="0.25">
      <c r="A15" s="74" t="s">
        <v>80</v>
      </c>
      <c r="B15" s="208"/>
      <c r="C15" s="210"/>
      <c r="D15" s="210"/>
      <c r="E15" s="210"/>
      <c r="F15" s="70">
        <f>E15+D15</f>
        <v>0</v>
      </c>
      <c r="G15" s="71" t="e">
        <f t="shared" si="1"/>
        <v>#DIV/0!</v>
      </c>
      <c r="H15" s="141"/>
    </row>
    <row r="16" spans="1:10" hidden="1" x14ac:dyDescent="0.25">
      <c r="A16" s="74" t="s">
        <v>81</v>
      </c>
      <c r="B16" s="208"/>
      <c r="C16" s="210"/>
      <c r="D16" s="210"/>
      <c r="E16" s="210"/>
      <c r="F16" s="70">
        <f>E16+D16</f>
        <v>0</v>
      </c>
      <c r="G16" s="71" t="e">
        <f t="shared" si="1"/>
        <v>#DIV/0!</v>
      </c>
      <c r="H16" s="141"/>
    </row>
    <row r="17" spans="1:8" hidden="1" x14ac:dyDescent="0.25">
      <c r="A17" s="74" t="s">
        <v>82</v>
      </c>
      <c r="B17" s="208"/>
      <c r="C17" s="210"/>
      <c r="D17" s="173"/>
      <c r="E17" s="173"/>
      <c r="F17" s="72">
        <f>E17+D17</f>
        <v>0</v>
      </c>
      <c r="G17" s="71" t="e">
        <f t="shared" si="1"/>
        <v>#DIV/0!</v>
      </c>
      <c r="H17" s="141"/>
    </row>
    <row r="18" spans="1:8" hidden="1" x14ac:dyDescent="0.25">
      <c r="A18" s="29" t="s">
        <v>86</v>
      </c>
      <c r="B18" s="8">
        <f>SUM(B15:B17)</f>
        <v>0</v>
      </c>
      <c r="C18" s="73">
        <f>SUM(C15:C17)</f>
        <v>0</v>
      </c>
      <c r="D18" s="73">
        <f>SUM(D15:D17)</f>
        <v>0</v>
      </c>
      <c r="E18" s="73">
        <f>SUM(E15:E17)</f>
        <v>0</v>
      </c>
      <c r="F18" s="73">
        <f>SUM(F15:F17)</f>
        <v>0</v>
      </c>
      <c r="G18" s="16" t="e">
        <f t="shared" si="1"/>
        <v>#DIV/0!</v>
      </c>
      <c r="H18" s="141"/>
    </row>
    <row r="19" spans="1:8" hidden="1" x14ac:dyDescent="0.25">
      <c r="A19" s="74" t="s">
        <v>83</v>
      </c>
      <c r="B19" s="208"/>
      <c r="C19" s="210"/>
      <c r="D19" s="210"/>
      <c r="E19" s="210"/>
      <c r="F19" s="70">
        <f>E19+D19</f>
        <v>0</v>
      </c>
      <c r="G19" s="71" t="e">
        <f t="shared" si="1"/>
        <v>#DIV/0!</v>
      </c>
      <c r="H19" s="141"/>
    </row>
    <row r="20" spans="1:8" hidden="1" x14ac:dyDescent="0.25">
      <c r="A20" s="74" t="s">
        <v>84</v>
      </c>
      <c r="B20" s="208"/>
      <c r="C20" s="210"/>
      <c r="D20" s="210"/>
      <c r="E20" s="210"/>
      <c r="F20" s="70">
        <f>E20+D20</f>
        <v>0</v>
      </c>
      <c r="G20" s="71" t="e">
        <f t="shared" si="1"/>
        <v>#DIV/0!</v>
      </c>
      <c r="H20" s="141"/>
    </row>
    <row r="21" spans="1:8" hidden="1" x14ac:dyDescent="0.25">
      <c r="A21" s="74" t="s">
        <v>85</v>
      </c>
      <c r="B21" s="208"/>
      <c r="C21" s="210"/>
      <c r="D21" s="173"/>
      <c r="E21" s="173"/>
      <c r="F21" s="72">
        <f>E21+D21</f>
        <v>0</v>
      </c>
      <c r="G21" s="71" t="e">
        <f t="shared" si="1"/>
        <v>#DIV/0!</v>
      </c>
      <c r="H21" s="141"/>
    </row>
    <row r="22" spans="1:8" hidden="1" x14ac:dyDescent="0.25">
      <c r="A22" s="29" t="s">
        <v>87</v>
      </c>
      <c r="B22" s="8">
        <f>SUM(B19:B21)</f>
        <v>0</v>
      </c>
      <c r="C22" s="73">
        <f>SUM(C19:C21)</f>
        <v>0</v>
      </c>
      <c r="D22" s="73">
        <f>SUM(D19:D21)</f>
        <v>0</v>
      </c>
      <c r="E22" s="73">
        <f>SUM(E19:E21)</f>
        <v>0</v>
      </c>
      <c r="F22" s="73">
        <f>SUM(F19:F21)</f>
        <v>0</v>
      </c>
      <c r="G22" s="16" t="e">
        <f t="shared" si="1"/>
        <v>#DIV/0!</v>
      </c>
      <c r="H22" s="141"/>
    </row>
    <row r="23" spans="1:8" hidden="1" x14ac:dyDescent="0.25">
      <c r="A23" s="75" t="s">
        <v>9</v>
      </c>
      <c r="B23" s="10">
        <f>+B10+B14+B18+B22</f>
        <v>325</v>
      </c>
      <c r="C23" s="10">
        <f>+C10+C14+C18+C22</f>
        <v>19176569.199999996</v>
      </c>
      <c r="D23" s="10">
        <f>+D10+D14+D18+D22</f>
        <v>6481323.79</v>
      </c>
      <c r="E23" s="10">
        <f>+E10+E14+E18+E22</f>
        <v>3556165.3099999996</v>
      </c>
      <c r="F23" s="10">
        <f>+F10+F14+F18+F22</f>
        <v>10037489.1</v>
      </c>
      <c r="G23" s="10">
        <f t="shared" si="1"/>
        <v>0.52342465408254579</v>
      </c>
      <c r="H23" s="141"/>
    </row>
    <row r="24" spans="1:8" hidden="1" x14ac:dyDescent="0.25">
      <c r="A24" s="141"/>
      <c r="B24" s="141"/>
      <c r="C24" s="141"/>
      <c r="D24" s="141"/>
      <c r="E24" s="141"/>
      <c r="F24" s="141"/>
      <c r="G24" s="141"/>
      <c r="H24" s="141"/>
    </row>
    <row r="25" spans="1:8" hidden="1" x14ac:dyDescent="0.25">
      <c r="A25" s="141"/>
      <c r="B25" s="141"/>
      <c r="C25" s="141"/>
      <c r="D25" s="141"/>
      <c r="E25" s="141"/>
      <c r="F25" s="141"/>
      <c r="G25" s="141"/>
      <c r="H25" s="141"/>
    </row>
    <row r="26" spans="1:8" hidden="1" x14ac:dyDescent="0.25">
      <c r="A26" s="141"/>
      <c r="B26" s="141"/>
      <c r="C26" s="141"/>
      <c r="D26" s="141"/>
      <c r="E26" s="141"/>
      <c r="F26" s="141"/>
      <c r="G26" s="141"/>
      <c r="H26" s="141"/>
    </row>
    <row r="27" spans="1:8" hidden="1" x14ac:dyDescent="0.25">
      <c r="A27" s="141"/>
      <c r="B27" s="141"/>
      <c r="C27" s="141"/>
      <c r="D27" s="141"/>
      <c r="E27" s="141"/>
      <c r="F27" s="141"/>
      <c r="G27" s="141"/>
      <c r="H27" s="141"/>
    </row>
    <row r="28" spans="1:8" hidden="1" x14ac:dyDescent="0.25">
      <c r="A28" s="141"/>
      <c r="B28" s="141"/>
      <c r="C28" s="141"/>
      <c r="D28" s="141"/>
      <c r="E28" s="141"/>
      <c r="F28" s="141"/>
      <c r="G28" s="141"/>
      <c r="H28" s="141"/>
    </row>
    <row r="29" spans="1:8" hidden="1" x14ac:dyDescent="0.25">
      <c r="A29" s="141"/>
      <c r="B29" s="141"/>
      <c r="C29" s="141"/>
      <c r="D29" s="141"/>
      <c r="E29" s="141"/>
      <c r="F29" s="141"/>
      <c r="G29" s="141"/>
      <c r="H29" s="141"/>
    </row>
    <row r="30" spans="1:8" hidden="1" x14ac:dyDescent="0.25">
      <c r="A30" s="141"/>
      <c r="B30" s="141"/>
      <c r="C30" s="141"/>
      <c r="D30" s="141"/>
      <c r="E30" s="141"/>
      <c r="F30" s="141"/>
      <c r="G30" s="141"/>
      <c r="H30" s="141"/>
    </row>
    <row r="31" spans="1:8" hidden="1" x14ac:dyDescent="0.25">
      <c r="A31" s="141"/>
      <c r="B31" s="141"/>
      <c r="C31" s="141"/>
      <c r="D31" s="141"/>
      <c r="E31" s="141"/>
      <c r="F31" s="141"/>
      <c r="G31" s="141"/>
      <c r="H31" s="141"/>
    </row>
    <row r="32" spans="1:8" hidden="1" x14ac:dyDescent="0.25">
      <c r="A32" s="141"/>
      <c r="B32" s="141"/>
      <c r="C32" s="141"/>
      <c r="D32" s="141"/>
      <c r="E32" s="141"/>
      <c r="F32" s="141"/>
      <c r="G32" s="141"/>
      <c r="H32" s="141"/>
    </row>
    <row r="33" spans="1:8" hidden="1" x14ac:dyDescent="0.25">
      <c r="A33" s="141"/>
      <c r="B33" s="141"/>
      <c r="C33" s="141"/>
      <c r="D33" s="141"/>
      <c r="E33" s="141"/>
      <c r="F33" s="141"/>
      <c r="G33" s="141"/>
      <c r="H33" s="141"/>
    </row>
    <row r="34" spans="1:8" x14ac:dyDescent="0.25">
      <c r="A34" s="271" t="s">
        <v>164</v>
      </c>
      <c r="B34" s="141"/>
      <c r="C34" s="141"/>
      <c r="D34" s="141"/>
      <c r="E34" s="141"/>
      <c r="F34" s="141"/>
      <c r="G34" s="141"/>
      <c r="H34" s="141"/>
    </row>
    <row r="35" spans="1:8" x14ac:dyDescent="0.25">
      <c r="A35" s="149"/>
      <c r="B35" s="141"/>
      <c r="C35" s="141"/>
      <c r="D35" s="141"/>
      <c r="E35" s="141"/>
      <c r="F35" s="141"/>
      <c r="G35" s="141"/>
      <c r="H35" s="141"/>
    </row>
    <row r="36" spans="1:8" x14ac:dyDescent="0.25">
      <c r="A36" s="141"/>
      <c r="B36" s="141"/>
      <c r="C36" s="141"/>
      <c r="D36" s="141"/>
      <c r="E36" s="141"/>
      <c r="F36" s="141"/>
      <c r="G36" s="141"/>
      <c r="H36" s="141"/>
    </row>
    <row r="37" spans="1:8" x14ac:dyDescent="0.25">
      <c r="A37" s="141"/>
      <c r="B37" s="141"/>
      <c r="C37" s="141"/>
      <c r="D37" s="141"/>
      <c r="E37" s="141"/>
      <c r="F37" s="141"/>
      <c r="G37" s="141"/>
      <c r="H37" s="141"/>
    </row>
    <row r="38" spans="1:8" x14ac:dyDescent="0.25">
      <c r="A38" s="141"/>
      <c r="B38" s="141"/>
      <c r="C38" s="141"/>
      <c r="D38" s="141"/>
      <c r="E38" s="141"/>
      <c r="F38" s="141"/>
      <c r="G38" s="141"/>
      <c r="H38" s="141"/>
    </row>
    <row r="39" spans="1:8" x14ac:dyDescent="0.25">
      <c r="A39" s="141"/>
      <c r="B39" s="141"/>
      <c r="C39" s="141"/>
      <c r="D39" s="141"/>
      <c r="E39" s="141"/>
      <c r="F39" s="141"/>
      <c r="G39" s="141"/>
      <c r="H39" s="141"/>
    </row>
    <row r="40" spans="1:8" x14ac:dyDescent="0.25">
      <c r="A40" s="141"/>
      <c r="B40" s="141"/>
      <c r="C40" s="141"/>
      <c r="D40" s="141"/>
      <c r="E40" s="141"/>
      <c r="F40" s="141"/>
      <c r="G40" s="141"/>
      <c r="H40" s="141"/>
    </row>
    <row r="41" spans="1:8" x14ac:dyDescent="0.25">
      <c r="A41" s="141"/>
      <c r="B41" s="141"/>
      <c r="C41" s="141"/>
      <c r="D41" s="141"/>
      <c r="E41" s="141"/>
      <c r="F41" s="141"/>
      <c r="G41" s="141"/>
      <c r="H41" s="141"/>
    </row>
    <row r="42" spans="1:8" x14ac:dyDescent="0.25">
      <c r="A42" s="141"/>
      <c r="B42" s="141"/>
      <c r="C42" s="141"/>
      <c r="D42" s="141"/>
      <c r="E42" s="141"/>
      <c r="F42" s="141"/>
      <c r="G42" s="141"/>
      <c r="H42" s="141"/>
    </row>
    <row r="43" spans="1:8" x14ac:dyDescent="0.25">
      <c r="A43" s="141"/>
      <c r="B43" s="141"/>
      <c r="C43" s="141"/>
      <c r="D43" s="141"/>
      <c r="E43" s="141"/>
      <c r="F43" s="141"/>
      <c r="G43" s="141"/>
      <c r="H43" s="141"/>
    </row>
    <row r="44" spans="1:8" x14ac:dyDescent="0.25">
      <c r="A44" s="141"/>
      <c r="B44" s="141"/>
      <c r="C44" s="141"/>
      <c r="D44" s="141"/>
      <c r="E44" s="141"/>
      <c r="F44" s="141"/>
      <c r="G44" s="141"/>
      <c r="H44" s="141"/>
    </row>
    <row r="45" spans="1:8" x14ac:dyDescent="0.25">
      <c r="A45" s="141"/>
      <c r="B45" s="141"/>
      <c r="C45" s="141"/>
      <c r="D45" s="141"/>
      <c r="E45" s="141"/>
      <c r="F45" s="141"/>
      <c r="G45" s="141"/>
      <c r="H45" s="141"/>
    </row>
    <row r="46" spans="1:8" x14ac:dyDescent="0.25">
      <c r="A46" s="141"/>
      <c r="B46" s="141"/>
      <c r="C46" s="141"/>
      <c r="D46" s="141"/>
      <c r="E46" s="141"/>
      <c r="F46" s="141"/>
      <c r="G46" s="141"/>
      <c r="H46" s="141"/>
    </row>
    <row r="47" spans="1:8" x14ac:dyDescent="0.25">
      <c r="A47" s="141"/>
      <c r="B47" s="141"/>
      <c r="C47" s="141"/>
      <c r="D47" s="141"/>
      <c r="E47" s="141"/>
      <c r="F47" s="141"/>
      <c r="G47" s="141"/>
      <c r="H47" s="141"/>
    </row>
    <row r="48" spans="1:8" x14ac:dyDescent="0.25">
      <c r="A48" s="141"/>
      <c r="B48" s="141"/>
      <c r="C48" s="141"/>
      <c r="D48" s="141"/>
      <c r="E48" s="141"/>
      <c r="F48" s="141"/>
      <c r="G48" s="141"/>
      <c r="H48" s="141"/>
    </row>
    <row r="49" spans="1:8" x14ac:dyDescent="0.25">
      <c r="A49" s="141"/>
      <c r="B49" s="141"/>
      <c r="C49" s="141"/>
      <c r="D49" s="141"/>
      <c r="E49" s="141"/>
      <c r="F49" s="141"/>
      <c r="G49" s="141"/>
      <c r="H49" s="141"/>
    </row>
    <row r="50" spans="1:8" x14ac:dyDescent="0.25">
      <c r="A50" s="141"/>
      <c r="B50" s="141"/>
      <c r="C50" s="141"/>
      <c r="D50" s="141"/>
      <c r="E50" s="141"/>
      <c r="F50" s="141"/>
      <c r="G50" s="141"/>
      <c r="H50" s="141"/>
    </row>
    <row r="51" spans="1:8" x14ac:dyDescent="0.25">
      <c r="A51" s="141"/>
      <c r="B51" s="141"/>
      <c r="C51" s="141"/>
      <c r="D51" s="141"/>
      <c r="E51" s="141"/>
      <c r="F51" s="141"/>
      <c r="G51" s="141"/>
      <c r="H51" s="141"/>
    </row>
    <row r="52" spans="1:8" x14ac:dyDescent="0.25">
      <c r="A52" s="141"/>
      <c r="B52" s="141"/>
      <c r="C52" s="141"/>
      <c r="D52" s="141"/>
      <c r="E52" s="141"/>
      <c r="F52" s="141"/>
      <c r="G52" s="141"/>
      <c r="H52" s="141"/>
    </row>
    <row r="53" spans="1:8" x14ac:dyDescent="0.25">
      <c r="A53" s="141"/>
      <c r="B53" s="141"/>
      <c r="C53" s="141"/>
      <c r="D53" s="141"/>
      <c r="E53" s="141"/>
      <c r="F53" s="141"/>
      <c r="G53" s="141"/>
      <c r="H53" s="141"/>
    </row>
    <row r="54" spans="1:8" x14ac:dyDescent="0.25">
      <c r="A54" s="141"/>
      <c r="B54" s="141"/>
      <c r="C54" s="141"/>
      <c r="D54" s="141"/>
      <c r="E54" s="141"/>
      <c r="F54" s="141"/>
      <c r="G54" s="141"/>
      <c r="H54" s="141"/>
    </row>
    <row r="55" spans="1:8" x14ac:dyDescent="0.25">
      <c r="A55" s="141"/>
      <c r="B55" s="141"/>
      <c r="C55" s="141"/>
      <c r="D55" s="141"/>
      <c r="E55" s="141"/>
      <c r="F55" s="141"/>
      <c r="G55" s="141"/>
      <c r="H55" s="141"/>
    </row>
    <row r="56" spans="1:8" x14ac:dyDescent="0.25">
      <c r="A56" s="141"/>
      <c r="B56" s="141"/>
      <c r="C56" s="141"/>
      <c r="D56" s="141"/>
      <c r="E56" s="141"/>
      <c r="F56" s="141"/>
      <c r="G56" s="141"/>
      <c r="H56" s="141"/>
    </row>
    <row r="57" spans="1:8" x14ac:dyDescent="0.25">
      <c r="A57" s="141"/>
      <c r="B57" s="141"/>
      <c r="C57" s="141"/>
      <c r="D57" s="141"/>
      <c r="E57" s="141"/>
      <c r="F57" s="141"/>
      <c r="G57" s="141"/>
      <c r="H57" s="141"/>
    </row>
    <row r="59" spans="1:8" x14ac:dyDescent="0.25">
      <c r="A59" s="74"/>
      <c r="B59" s="211"/>
      <c r="C59" s="209"/>
      <c r="D59" s="173"/>
      <c r="E59" s="173"/>
      <c r="F59" s="72"/>
      <c r="G59" s="71"/>
    </row>
    <row r="61" spans="1:8" x14ac:dyDescent="0.25">
      <c r="A61" s="74"/>
      <c r="B61" s="208"/>
      <c r="C61" s="209"/>
      <c r="D61" s="210"/>
      <c r="E61" s="210"/>
      <c r="F61" s="72"/>
      <c r="G61" s="71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0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Z54"/>
  <sheetViews>
    <sheetView showGridLines="0" tabSelected="1" zoomScale="85" zoomScaleNormal="85" workbookViewId="0">
      <selection activeCell="C12" sqref="C12"/>
    </sheetView>
  </sheetViews>
  <sheetFormatPr baseColWidth="10" defaultColWidth="11.42578125" defaultRowHeight="15" x14ac:dyDescent="0.25"/>
  <cols>
    <col min="1" max="1" width="11.42578125" style="1"/>
    <col min="2" max="2" width="45.5703125" style="1" bestFit="1" customWidth="1"/>
    <col min="3" max="3" width="9.42578125" style="1" hidden="1" customWidth="1"/>
    <col min="4" max="4" width="10.85546875" style="1" hidden="1" customWidth="1"/>
    <col min="5" max="5" width="11.42578125" style="1" hidden="1" customWidth="1"/>
    <col min="6" max="6" width="9.42578125" style="1" hidden="1" customWidth="1"/>
    <col min="7" max="7" width="10.85546875" style="1" hidden="1" customWidth="1"/>
    <col min="8" max="8" width="11.42578125" style="1" hidden="1" customWidth="1"/>
    <col min="9" max="9" width="9.42578125" style="1" hidden="1" customWidth="1"/>
    <col min="10" max="10" width="10.85546875" style="1" hidden="1" customWidth="1"/>
    <col min="11" max="11" width="11.42578125" style="1" hidden="1" customWidth="1"/>
    <col min="12" max="13" width="11.42578125" style="1"/>
    <col min="14" max="14" width="11.42578125" style="1" customWidth="1"/>
    <col min="15" max="16384" width="11.42578125" style="1"/>
  </cols>
  <sheetData>
    <row r="1" spans="1:26" x14ac:dyDescent="0.25">
      <c r="A1" s="22"/>
      <c r="B1" s="330" t="s">
        <v>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26" x14ac:dyDescent="0.25">
      <c r="A2" s="22"/>
      <c r="B2" s="330" t="s">
        <v>116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26" x14ac:dyDescent="0.25">
      <c r="A3" s="22"/>
      <c r="B3" s="330" t="s">
        <v>115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26" x14ac:dyDescent="0.25">
      <c r="A4" s="22"/>
      <c r="B4" s="330" t="s">
        <v>239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26" x14ac:dyDescent="0.25">
      <c r="A5" s="23"/>
      <c r="B5" s="331" t="s">
        <v>218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8" spans="1:26" ht="15.75" x14ac:dyDescent="0.25">
      <c r="B8" s="376" t="s">
        <v>88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Z8" s="18"/>
    </row>
    <row r="9" spans="1:26" x14ac:dyDescent="0.25">
      <c r="B9" s="212"/>
      <c r="C9" s="359" t="s">
        <v>80</v>
      </c>
      <c r="D9" s="359"/>
      <c r="E9" s="359"/>
      <c r="F9" s="359" t="s">
        <v>81</v>
      </c>
      <c r="G9" s="359"/>
      <c r="H9" s="359"/>
      <c r="I9" s="359" t="s">
        <v>82</v>
      </c>
      <c r="J9" s="359"/>
      <c r="K9" s="359"/>
      <c r="L9" s="359" t="s">
        <v>86</v>
      </c>
      <c r="M9" s="359"/>
      <c r="N9" s="359"/>
      <c r="O9" s="141"/>
      <c r="P9" s="141"/>
      <c r="Q9" s="141"/>
      <c r="R9" s="141"/>
      <c r="S9" s="141"/>
      <c r="T9" s="141"/>
      <c r="U9" s="141"/>
      <c r="V9" s="141"/>
    </row>
    <row r="10" spans="1:26" x14ac:dyDescent="0.25">
      <c r="B10" s="58" t="s">
        <v>62</v>
      </c>
      <c r="C10" s="58" t="s">
        <v>63</v>
      </c>
      <c r="D10" s="58" t="s">
        <v>64</v>
      </c>
      <c r="E10" s="58" t="s">
        <v>65</v>
      </c>
      <c r="F10" s="58" t="s">
        <v>63</v>
      </c>
      <c r="G10" s="58" t="s">
        <v>64</v>
      </c>
      <c r="H10" s="58" t="s">
        <v>65</v>
      </c>
      <c r="I10" s="58" t="s">
        <v>63</v>
      </c>
      <c r="J10" s="58" t="s">
        <v>64</v>
      </c>
      <c r="K10" s="58" t="s">
        <v>65</v>
      </c>
      <c r="L10" s="58" t="s">
        <v>63</v>
      </c>
      <c r="M10" s="58" t="s">
        <v>64</v>
      </c>
      <c r="N10" s="58" t="s">
        <v>65</v>
      </c>
      <c r="O10" s="141"/>
      <c r="P10" s="141"/>
      <c r="Q10" s="141"/>
      <c r="R10" s="141"/>
      <c r="S10" s="141"/>
      <c r="T10" s="141"/>
      <c r="U10" s="141"/>
      <c r="V10" s="141"/>
    </row>
    <row r="11" spans="1:26" x14ac:dyDescent="0.25">
      <c r="B11" s="57" t="s">
        <v>67</v>
      </c>
      <c r="C11" s="164">
        <v>14</v>
      </c>
      <c r="D11" s="164">
        <v>12</v>
      </c>
      <c r="E11" s="133">
        <f>IFERROR(D11/C11,"-")</f>
        <v>0.8571428571428571</v>
      </c>
      <c r="F11" s="164">
        <v>13</v>
      </c>
      <c r="G11" s="164">
        <v>9</v>
      </c>
      <c r="H11" s="133">
        <f>IFERROR(G11/F11,"-")</f>
        <v>0.69230769230769229</v>
      </c>
      <c r="I11" s="164">
        <v>10</v>
      </c>
      <c r="J11" s="164">
        <v>10</v>
      </c>
      <c r="K11" s="133">
        <f>IFERROR(J11/I11,"-")</f>
        <v>1</v>
      </c>
      <c r="L11" s="164">
        <v>5212</v>
      </c>
      <c r="M11" s="164">
        <v>4841</v>
      </c>
      <c r="N11" s="82">
        <f>IFERROR(M11/L11,"-")</f>
        <v>0.92881811204911746</v>
      </c>
      <c r="O11" s="141"/>
      <c r="P11" s="141"/>
      <c r="Q11" s="141"/>
      <c r="R11" s="141"/>
      <c r="S11" s="141"/>
      <c r="T11" s="141"/>
      <c r="U11" s="141"/>
      <c r="V11" s="141"/>
    </row>
    <row r="12" spans="1:26" x14ac:dyDescent="0.25">
      <c r="B12" s="57" t="s">
        <v>166</v>
      </c>
      <c r="C12" s="164">
        <v>2563</v>
      </c>
      <c r="D12" s="164">
        <v>2563</v>
      </c>
      <c r="E12" s="133">
        <f t="shared" ref="E12:E23" si="0">IFERROR(D12/C12,"-")</f>
        <v>1</v>
      </c>
      <c r="F12" s="164">
        <v>2869</v>
      </c>
      <c r="G12" s="164">
        <v>2869</v>
      </c>
      <c r="H12" s="133">
        <f t="shared" ref="H12:H20" si="1">IFERROR(G12/F12,"-")</f>
        <v>1</v>
      </c>
      <c r="I12" s="164">
        <v>3387</v>
      </c>
      <c r="J12" s="164">
        <v>3387</v>
      </c>
      <c r="K12" s="133">
        <f t="shared" ref="K12:K20" si="2">IFERROR(J12/I12,"-")</f>
        <v>1</v>
      </c>
      <c r="L12" s="164">
        <v>25</v>
      </c>
      <c r="M12" s="164">
        <v>3</v>
      </c>
      <c r="N12" s="82">
        <f t="shared" ref="N12:N21" si="3">IFERROR(M12/L12,"-")</f>
        <v>0.12</v>
      </c>
      <c r="O12" s="141"/>
      <c r="P12" s="141"/>
      <c r="Q12" s="141"/>
      <c r="R12" s="141"/>
      <c r="S12" s="141"/>
      <c r="T12" s="141"/>
      <c r="U12" s="141"/>
      <c r="V12" s="141"/>
    </row>
    <row r="13" spans="1:26" x14ac:dyDescent="0.25">
      <c r="B13" s="57" t="s">
        <v>252</v>
      </c>
      <c r="C13" s="164">
        <v>190</v>
      </c>
      <c r="D13" s="164">
        <v>171</v>
      </c>
      <c r="E13" s="133">
        <f t="shared" si="0"/>
        <v>0.9</v>
      </c>
      <c r="F13" s="164">
        <v>274</v>
      </c>
      <c r="G13" s="164">
        <v>226</v>
      </c>
      <c r="H13" s="133">
        <f t="shared" si="1"/>
        <v>0.82481751824817517</v>
      </c>
      <c r="I13" s="164">
        <v>266</v>
      </c>
      <c r="J13" s="164">
        <v>228</v>
      </c>
      <c r="K13" s="133">
        <f t="shared" si="2"/>
        <v>0.8571428571428571</v>
      </c>
      <c r="L13" s="164">
        <v>310</v>
      </c>
      <c r="M13" s="164">
        <v>148</v>
      </c>
      <c r="N13" s="82">
        <f t="shared" si="3"/>
        <v>0.47741935483870968</v>
      </c>
      <c r="O13" s="141"/>
      <c r="P13" s="141"/>
      <c r="Q13" s="141"/>
      <c r="R13" s="141"/>
      <c r="S13" s="141"/>
      <c r="T13" s="141"/>
      <c r="U13" s="141"/>
      <c r="V13" s="141"/>
    </row>
    <row r="14" spans="1:26" x14ac:dyDescent="0.25">
      <c r="B14" s="57" t="s">
        <v>79</v>
      </c>
      <c r="C14" s="164">
        <v>3116</v>
      </c>
      <c r="D14" s="164">
        <v>3068</v>
      </c>
      <c r="E14" s="133">
        <f t="shared" si="0"/>
        <v>0.98459563543003847</v>
      </c>
      <c r="F14" s="164">
        <v>2752</v>
      </c>
      <c r="G14" s="164">
        <v>2721</v>
      </c>
      <c r="H14" s="133">
        <f t="shared" si="1"/>
        <v>0.98873546511627908</v>
      </c>
      <c r="I14" s="164">
        <v>2635</v>
      </c>
      <c r="J14" s="164">
        <v>2603</v>
      </c>
      <c r="K14" s="133">
        <f t="shared" si="2"/>
        <v>0.98785578747628089</v>
      </c>
      <c r="L14" s="164">
        <v>16</v>
      </c>
      <c r="M14" s="164">
        <v>10</v>
      </c>
      <c r="N14" s="82">
        <f t="shared" si="3"/>
        <v>0.625</v>
      </c>
      <c r="O14" s="141"/>
      <c r="P14" s="141"/>
      <c r="Q14" s="141"/>
      <c r="R14" s="141"/>
      <c r="S14" s="141"/>
      <c r="T14" s="141"/>
      <c r="U14" s="141"/>
      <c r="V14" s="141"/>
    </row>
    <row r="15" spans="1:26" x14ac:dyDescent="0.25">
      <c r="B15" s="57" t="s">
        <v>137</v>
      </c>
      <c r="C15" s="164">
        <v>26</v>
      </c>
      <c r="D15" s="164">
        <v>19</v>
      </c>
      <c r="E15" s="133">
        <f t="shared" si="0"/>
        <v>0.73076923076923073</v>
      </c>
      <c r="F15" s="164">
        <v>14</v>
      </c>
      <c r="G15" s="164">
        <v>7</v>
      </c>
      <c r="H15" s="133">
        <f t="shared" si="1"/>
        <v>0.5</v>
      </c>
      <c r="I15" s="164">
        <v>22</v>
      </c>
      <c r="J15" s="164">
        <v>19</v>
      </c>
      <c r="K15" s="133">
        <f t="shared" si="2"/>
        <v>0.86363636363636365</v>
      </c>
      <c r="L15" s="164">
        <v>738</v>
      </c>
      <c r="M15" s="164">
        <v>145</v>
      </c>
      <c r="N15" s="82">
        <f t="shared" si="3"/>
        <v>0.19647696476964768</v>
      </c>
      <c r="O15" s="141"/>
      <c r="P15" s="141"/>
      <c r="Q15" s="141"/>
      <c r="R15" s="141"/>
      <c r="S15" s="141"/>
      <c r="T15" s="141"/>
      <c r="U15" s="141"/>
      <c r="V15" s="141"/>
    </row>
    <row r="16" spans="1:26" x14ac:dyDescent="0.25">
      <c r="B16" s="57" t="s">
        <v>75</v>
      </c>
      <c r="C16" s="164">
        <v>16</v>
      </c>
      <c r="D16" s="164">
        <v>13</v>
      </c>
      <c r="E16" s="133">
        <f t="shared" si="0"/>
        <v>0.8125</v>
      </c>
      <c r="F16" s="164">
        <v>16</v>
      </c>
      <c r="G16" s="164">
        <v>3</v>
      </c>
      <c r="H16" s="133">
        <f t="shared" si="1"/>
        <v>0.1875</v>
      </c>
      <c r="I16" s="164">
        <v>24</v>
      </c>
      <c r="J16" s="164">
        <v>12</v>
      </c>
      <c r="K16" s="133">
        <f t="shared" si="2"/>
        <v>0.5</v>
      </c>
      <c r="L16" s="164">
        <v>480</v>
      </c>
      <c r="M16" s="164">
        <v>348</v>
      </c>
      <c r="N16" s="82">
        <f t="shared" si="3"/>
        <v>0.72499999999999998</v>
      </c>
      <c r="O16" s="141"/>
      <c r="P16" s="141"/>
      <c r="Q16" s="141"/>
      <c r="R16" s="141"/>
      <c r="S16" s="141"/>
      <c r="T16" s="141"/>
      <c r="U16" s="141"/>
      <c r="V16" s="141"/>
    </row>
    <row r="17" spans="2:22" x14ac:dyDescent="0.25">
      <c r="B17" s="57" t="s">
        <v>253</v>
      </c>
      <c r="C17" s="164">
        <v>110</v>
      </c>
      <c r="D17" s="164">
        <v>80</v>
      </c>
      <c r="E17" s="133">
        <f t="shared" si="0"/>
        <v>0.72727272727272729</v>
      </c>
      <c r="F17" s="164">
        <v>186</v>
      </c>
      <c r="G17" s="164">
        <v>99</v>
      </c>
      <c r="H17" s="133">
        <f t="shared" si="1"/>
        <v>0.532258064516129</v>
      </c>
      <c r="I17" s="164">
        <v>170</v>
      </c>
      <c r="J17" s="164">
        <v>143</v>
      </c>
      <c r="K17" s="133">
        <f t="shared" si="2"/>
        <v>0.8411764705882353</v>
      </c>
      <c r="L17" s="164">
        <v>4</v>
      </c>
      <c r="M17" s="164">
        <v>3</v>
      </c>
      <c r="N17" s="82">
        <f t="shared" si="3"/>
        <v>0.75</v>
      </c>
      <c r="O17" s="141"/>
      <c r="P17" s="141"/>
      <c r="Q17" s="141"/>
      <c r="R17" s="141"/>
      <c r="S17" s="141"/>
      <c r="T17" s="141"/>
      <c r="U17" s="141"/>
      <c r="V17" s="141"/>
    </row>
    <row r="18" spans="2:22" x14ac:dyDescent="0.25">
      <c r="B18" s="57" t="s">
        <v>254</v>
      </c>
      <c r="C18" s="164">
        <v>0</v>
      </c>
      <c r="D18" s="164">
        <v>0</v>
      </c>
      <c r="E18" s="133" t="str">
        <f t="shared" si="0"/>
        <v>-</v>
      </c>
      <c r="F18" s="164">
        <v>2</v>
      </c>
      <c r="G18" s="164">
        <v>2</v>
      </c>
      <c r="H18" s="133">
        <f t="shared" si="1"/>
        <v>1</v>
      </c>
      <c r="I18" s="164">
        <v>2</v>
      </c>
      <c r="J18" s="164">
        <v>1</v>
      </c>
      <c r="K18" s="133">
        <f t="shared" si="2"/>
        <v>0.5</v>
      </c>
      <c r="L18" s="164">
        <v>189</v>
      </c>
      <c r="M18" s="164">
        <v>67</v>
      </c>
      <c r="N18" s="82">
        <f t="shared" si="3"/>
        <v>0.35449735449735448</v>
      </c>
      <c r="O18" s="141"/>
      <c r="P18" s="141"/>
      <c r="Q18" s="141"/>
      <c r="R18" s="141"/>
      <c r="S18" s="141"/>
      <c r="T18" s="141"/>
      <c r="U18" s="141"/>
      <c r="V18" s="141"/>
    </row>
    <row r="19" spans="2:22" x14ac:dyDescent="0.25">
      <c r="B19" s="57" t="s">
        <v>255</v>
      </c>
      <c r="C19" s="164">
        <v>0</v>
      </c>
      <c r="D19" s="164">
        <v>0</v>
      </c>
      <c r="E19" s="133" t="str">
        <f t="shared" si="0"/>
        <v>-</v>
      </c>
      <c r="F19" s="164">
        <v>0</v>
      </c>
      <c r="G19" s="164">
        <v>0</v>
      </c>
      <c r="H19" s="133" t="str">
        <f t="shared" si="1"/>
        <v>-</v>
      </c>
      <c r="I19" s="164">
        <v>0</v>
      </c>
      <c r="J19" s="164">
        <v>0</v>
      </c>
      <c r="K19" s="133" t="str">
        <f t="shared" si="2"/>
        <v>-</v>
      </c>
      <c r="L19" s="164">
        <v>42</v>
      </c>
      <c r="M19" s="164">
        <v>29</v>
      </c>
      <c r="N19" s="82">
        <f t="shared" si="3"/>
        <v>0.69047619047619047</v>
      </c>
      <c r="O19" s="141"/>
      <c r="P19" s="141"/>
      <c r="Q19" s="141"/>
      <c r="R19" s="141"/>
      <c r="S19" s="141"/>
      <c r="T19" s="141"/>
      <c r="U19" s="141"/>
      <c r="V19" s="141"/>
    </row>
    <row r="20" spans="2:22" x14ac:dyDescent="0.25">
      <c r="B20" s="57" t="s">
        <v>256</v>
      </c>
      <c r="C20" s="164">
        <v>5</v>
      </c>
      <c r="D20" s="164">
        <v>5</v>
      </c>
      <c r="E20" s="133">
        <f t="shared" si="0"/>
        <v>1</v>
      </c>
      <c r="F20" s="164">
        <v>13</v>
      </c>
      <c r="G20" s="164">
        <v>3</v>
      </c>
      <c r="H20" s="133">
        <f t="shared" si="1"/>
        <v>0.23076923076923078</v>
      </c>
      <c r="I20" s="164">
        <v>6</v>
      </c>
      <c r="J20" s="164">
        <v>4</v>
      </c>
      <c r="K20" s="133">
        <f t="shared" si="2"/>
        <v>0.66666666666666663</v>
      </c>
      <c r="L20" s="164">
        <v>725</v>
      </c>
      <c r="M20" s="164">
        <v>640</v>
      </c>
      <c r="N20" s="82">
        <f>IFERROR(M20/L20,"-")</f>
        <v>0.88275862068965516</v>
      </c>
      <c r="O20" s="141"/>
      <c r="P20" s="141"/>
      <c r="Q20" s="141"/>
      <c r="R20" s="141"/>
      <c r="S20" s="141"/>
      <c r="T20" s="141"/>
      <c r="U20" s="141"/>
      <c r="V20" s="141"/>
    </row>
    <row r="21" spans="2:22" x14ac:dyDescent="0.25">
      <c r="B21" s="57" t="s">
        <v>257</v>
      </c>
      <c r="C21" s="164">
        <v>114</v>
      </c>
      <c r="D21" s="164">
        <v>97</v>
      </c>
      <c r="E21" s="133">
        <f t="shared" si="0"/>
        <v>0.85087719298245612</v>
      </c>
      <c r="F21" s="164">
        <v>86</v>
      </c>
      <c r="G21" s="164">
        <v>58</v>
      </c>
      <c r="H21" s="133">
        <f t="shared" ref="H21:H23" si="4">IFERROR(G21/F21,"-")</f>
        <v>0.67441860465116277</v>
      </c>
      <c r="I21" s="164">
        <v>147</v>
      </c>
      <c r="J21" s="164">
        <v>129</v>
      </c>
      <c r="K21" s="133">
        <f t="shared" ref="K21:K23" si="5">IFERROR(J21/I21,"-")</f>
        <v>0.87755102040816324</v>
      </c>
      <c r="L21" s="164">
        <v>3324</v>
      </c>
      <c r="M21" s="164">
        <v>1601</v>
      </c>
      <c r="N21" s="82">
        <f t="shared" si="3"/>
        <v>0.48164861612515042</v>
      </c>
      <c r="O21" s="141"/>
      <c r="P21" s="141"/>
      <c r="Q21" s="141"/>
      <c r="R21" s="141"/>
      <c r="S21" s="141"/>
      <c r="T21" s="141"/>
      <c r="U21" s="141"/>
      <c r="V21" s="141"/>
    </row>
    <row r="22" spans="2:22" x14ac:dyDescent="0.25">
      <c r="B22" s="57" t="s">
        <v>258</v>
      </c>
      <c r="C22" s="164">
        <v>54</v>
      </c>
      <c r="D22" s="164">
        <v>52</v>
      </c>
      <c r="E22" s="133">
        <f t="shared" si="0"/>
        <v>0.96296296296296291</v>
      </c>
      <c r="F22" s="164">
        <v>80</v>
      </c>
      <c r="G22" s="164">
        <v>53</v>
      </c>
      <c r="H22" s="133">
        <f t="shared" si="4"/>
        <v>0.66249999999999998</v>
      </c>
      <c r="I22" s="164">
        <v>98</v>
      </c>
      <c r="J22" s="164">
        <v>96</v>
      </c>
      <c r="K22" s="133">
        <f t="shared" si="5"/>
        <v>0.97959183673469385</v>
      </c>
      <c r="L22" s="164">
        <v>173</v>
      </c>
      <c r="M22" s="164">
        <v>102</v>
      </c>
      <c r="N22" s="82">
        <f t="shared" ref="N22" si="6">IFERROR(M22/L22,"-")</f>
        <v>0.58959537572254339</v>
      </c>
      <c r="O22" s="141"/>
      <c r="P22" s="141"/>
      <c r="Q22" s="141"/>
      <c r="R22" s="141"/>
      <c r="S22" s="141"/>
      <c r="T22" s="141"/>
      <c r="U22" s="141"/>
      <c r="V22" s="141"/>
    </row>
    <row r="23" spans="2:22" x14ac:dyDescent="0.25">
      <c r="B23" s="49" t="s">
        <v>77</v>
      </c>
      <c r="C23" s="8">
        <f>SUM(C11:C22)</f>
        <v>6208</v>
      </c>
      <c r="D23" s="8">
        <f>SUM(D11:D22)</f>
        <v>6080</v>
      </c>
      <c r="E23" s="8">
        <f t="shared" si="0"/>
        <v>0.97938144329896903</v>
      </c>
      <c r="F23" s="8">
        <f>SUM(F11:F22)</f>
        <v>6305</v>
      </c>
      <c r="G23" s="8">
        <f>SUM(G11:G22)</f>
        <v>6050</v>
      </c>
      <c r="H23" s="8">
        <f t="shared" si="4"/>
        <v>0.95955590800951629</v>
      </c>
      <c r="I23" s="8">
        <f>SUM(I11:I22)</f>
        <v>6767</v>
      </c>
      <c r="J23" s="8">
        <f>SUM(J11:J22)</f>
        <v>6632</v>
      </c>
      <c r="K23" s="8">
        <f t="shared" si="5"/>
        <v>0.98005024383035322</v>
      </c>
      <c r="L23" s="8">
        <f>SUM(L11:L22)</f>
        <v>11238</v>
      </c>
      <c r="M23" s="8">
        <f>SUM(M11:M22)</f>
        <v>7937</v>
      </c>
      <c r="N23" s="98">
        <f>+M23/L23</f>
        <v>0.706264459868304</v>
      </c>
      <c r="O23" s="141"/>
      <c r="P23" s="141"/>
      <c r="Q23" s="141"/>
      <c r="R23" s="141"/>
      <c r="S23" s="141"/>
      <c r="T23" s="141"/>
      <c r="U23" s="141"/>
      <c r="V23" s="141"/>
    </row>
    <row r="24" spans="2:22" x14ac:dyDescent="0.25">
      <c r="B24" s="154" t="s">
        <v>246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2:22" x14ac:dyDescent="0.25">
      <c r="B25" s="154" t="s">
        <v>261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2:22" x14ac:dyDescent="0.25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2:22" x14ac:dyDescent="0.25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2:22" x14ac:dyDescent="0.25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2:22" ht="15.75" x14ac:dyDescent="0.25">
      <c r="B29" s="377" t="s">
        <v>89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141"/>
      <c r="P29" s="141"/>
      <c r="Q29" s="141"/>
      <c r="R29" s="141"/>
      <c r="S29" s="141"/>
      <c r="T29" s="141"/>
      <c r="U29" s="141"/>
      <c r="V29" s="141"/>
    </row>
    <row r="30" spans="2:22" x14ac:dyDescent="0.25">
      <c r="B30" s="212"/>
      <c r="C30" s="359" t="s">
        <v>80</v>
      </c>
      <c r="D30" s="359"/>
      <c r="E30" s="359"/>
      <c r="F30" s="359" t="s">
        <v>81</v>
      </c>
      <c r="G30" s="359"/>
      <c r="H30" s="359"/>
      <c r="I30" s="359" t="s">
        <v>82</v>
      </c>
      <c r="J30" s="359"/>
      <c r="K30" s="359"/>
      <c r="L30" s="359" t="s">
        <v>86</v>
      </c>
      <c r="M30" s="359"/>
      <c r="N30" s="359"/>
      <c r="O30" s="141"/>
      <c r="P30" s="141"/>
      <c r="Q30" s="141"/>
      <c r="R30" s="141"/>
      <c r="S30" s="141"/>
      <c r="T30" s="141"/>
      <c r="U30" s="141"/>
      <c r="V30" s="141"/>
    </row>
    <row r="31" spans="2:22" x14ac:dyDescent="0.25">
      <c r="B31" s="57"/>
      <c r="C31" s="58" t="s">
        <v>63</v>
      </c>
      <c r="D31" s="58" t="s">
        <v>64</v>
      </c>
      <c r="E31" s="58" t="s">
        <v>39</v>
      </c>
      <c r="F31" s="58" t="s">
        <v>63</v>
      </c>
      <c r="G31" s="58" t="s">
        <v>64</v>
      </c>
      <c r="H31" s="58" t="s">
        <v>65</v>
      </c>
      <c r="I31" s="58" t="s">
        <v>63</v>
      </c>
      <c r="J31" s="58" t="s">
        <v>64</v>
      </c>
      <c r="K31" s="58" t="s">
        <v>65</v>
      </c>
      <c r="L31" s="58" t="s">
        <v>63</v>
      </c>
      <c r="M31" s="58" t="s">
        <v>64</v>
      </c>
      <c r="N31" s="58" t="s">
        <v>65</v>
      </c>
      <c r="O31" s="141"/>
      <c r="P31" s="141"/>
      <c r="Q31" s="141"/>
      <c r="R31" s="141"/>
      <c r="S31" s="141"/>
      <c r="T31" s="141"/>
      <c r="U31" s="141"/>
      <c r="V31" s="141"/>
    </row>
    <row r="32" spans="2:22" x14ac:dyDescent="0.25">
      <c r="B32" s="57" t="s">
        <v>66</v>
      </c>
      <c r="C32" s="213">
        <v>16</v>
      </c>
      <c r="D32" s="213">
        <v>7</v>
      </c>
      <c r="E32" s="133">
        <f>IFERROR(D32/C32,"-")</f>
        <v>0.4375</v>
      </c>
      <c r="F32" s="213">
        <v>11</v>
      </c>
      <c r="G32" s="213">
        <v>8</v>
      </c>
      <c r="H32" s="133">
        <f t="shared" ref="H32:H43" si="7">IFERROR(G32/F32,"-")</f>
        <v>0.72727272727272729</v>
      </c>
      <c r="I32" s="213">
        <v>14</v>
      </c>
      <c r="J32" s="213">
        <v>4</v>
      </c>
      <c r="K32" s="133">
        <f t="shared" ref="K32:K43" si="8">IFERROR(J32/I32,"-")</f>
        <v>0.2857142857142857</v>
      </c>
      <c r="L32" s="213">
        <v>24</v>
      </c>
      <c r="M32" s="164">
        <v>16</v>
      </c>
      <c r="N32" s="82">
        <f>IFERROR(M32/L32,"-")</f>
        <v>0.66666666666666663</v>
      </c>
      <c r="O32" s="141"/>
      <c r="P32" s="141"/>
      <c r="Q32" s="141"/>
      <c r="R32" s="141"/>
      <c r="S32" s="141"/>
      <c r="T32" s="141"/>
      <c r="U32" s="141"/>
      <c r="V32" s="141"/>
    </row>
    <row r="33" spans="2:22" x14ac:dyDescent="0.25">
      <c r="B33" s="57" t="s">
        <v>68</v>
      </c>
      <c r="C33" s="213">
        <v>15</v>
      </c>
      <c r="D33" s="213">
        <v>3</v>
      </c>
      <c r="E33" s="133">
        <f t="shared" ref="E33:E42" si="9">IFERROR(D33/C33,"-")</f>
        <v>0.2</v>
      </c>
      <c r="F33" s="213">
        <v>6</v>
      </c>
      <c r="G33" s="213">
        <v>0</v>
      </c>
      <c r="H33" s="133">
        <f t="shared" si="7"/>
        <v>0</v>
      </c>
      <c r="I33" s="213">
        <v>23</v>
      </c>
      <c r="J33" s="213">
        <v>2</v>
      </c>
      <c r="K33" s="133">
        <f t="shared" si="8"/>
        <v>8.6956521739130432E-2</v>
      </c>
      <c r="L33" s="213">
        <v>118</v>
      </c>
      <c r="M33" s="164">
        <v>36</v>
      </c>
      <c r="N33" s="82">
        <f t="shared" ref="N33:N42" si="10">IFERROR(M33/L33,"-")</f>
        <v>0.30508474576271188</v>
      </c>
      <c r="O33" s="141"/>
      <c r="P33" s="141"/>
      <c r="Q33" s="141"/>
      <c r="R33" s="141"/>
      <c r="S33" s="141"/>
      <c r="T33" s="141"/>
      <c r="U33" s="141"/>
      <c r="V33" s="141"/>
    </row>
    <row r="34" spans="2:22" x14ac:dyDescent="0.25">
      <c r="B34" s="57" t="s">
        <v>69</v>
      </c>
      <c r="C34" s="213">
        <v>106</v>
      </c>
      <c r="D34" s="213">
        <v>38</v>
      </c>
      <c r="E34" s="133">
        <f t="shared" si="9"/>
        <v>0.35849056603773582</v>
      </c>
      <c r="F34" s="213">
        <v>130</v>
      </c>
      <c r="G34" s="213">
        <v>30</v>
      </c>
      <c r="H34" s="133">
        <f t="shared" si="7"/>
        <v>0.23076923076923078</v>
      </c>
      <c r="I34" s="213">
        <v>228</v>
      </c>
      <c r="J34" s="213">
        <v>34</v>
      </c>
      <c r="K34" s="133">
        <f t="shared" si="8"/>
        <v>0.14912280701754385</v>
      </c>
      <c r="L34" s="213">
        <v>351</v>
      </c>
      <c r="M34" s="164">
        <v>173</v>
      </c>
      <c r="N34" s="82">
        <f t="shared" si="10"/>
        <v>0.49287749287749288</v>
      </c>
      <c r="O34" s="141"/>
      <c r="P34" s="141"/>
      <c r="Q34" s="141"/>
      <c r="R34" s="141"/>
      <c r="S34" s="141"/>
      <c r="T34" s="141"/>
      <c r="U34" s="141"/>
      <c r="V34" s="141"/>
    </row>
    <row r="35" spans="2:22" x14ac:dyDescent="0.25">
      <c r="B35" s="57" t="s">
        <v>78</v>
      </c>
      <c r="C35" s="213">
        <v>8</v>
      </c>
      <c r="D35" s="213">
        <v>3</v>
      </c>
      <c r="E35" s="133">
        <f t="shared" si="9"/>
        <v>0.375</v>
      </c>
      <c r="F35" s="213">
        <v>2</v>
      </c>
      <c r="G35" s="213">
        <v>0</v>
      </c>
      <c r="H35" s="133">
        <f t="shared" si="7"/>
        <v>0</v>
      </c>
      <c r="I35" s="213">
        <v>1</v>
      </c>
      <c r="J35" s="213">
        <v>0</v>
      </c>
      <c r="K35" s="133">
        <f t="shared" si="8"/>
        <v>0</v>
      </c>
      <c r="L35" s="213">
        <v>11</v>
      </c>
      <c r="M35" s="164">
        <v>3</v>
      </c>
      <c r="N35" s="82">
        <f t="shared" si="10"/>
        <v>0.27272727272727271</v>
      </c>
      <c r="O35" s="141"/>
      <c r="P35" s="141"/>
      <c r="Q35" s="141"/>
      <c r="R35" s="141"/>
      <c r="S35" s="141"/>
      <c r="T35" s="141"/>
      <c r="U35" s="141"/>
      <c r="V35" s="141"/>
    </row>
    <row r="36" spans="2:22" x14ac:dyDescent="0.25">
      <c r="B36" s="57" t="s">
        <v>165</v>
      </c>
      <c r="C36" s="213">
        <v>0</v>
      </c>
      <c r="D36" s="213">
        <v>0</v>
      </c>
      <c r="E36" s="133" t="str">
        <f t="shared" si="9"/>
        <v>-</v>
      </c>
      <c r="F36" s="213">
        <v>0</v>
      </c>
      <c r="G36" s="213">
        <v>0</v>
      </c>
      <c r="H36" s="133" t="str">
        <f t="shared" si="7"/>
        <v>-</v>
      </c>
      <c r="I36" s="213">
        <v>0</v>
      </c>
      <c r="J36" s="213">
        <v>0</v>
      </c>
      <c r="K36" s="133" t="str">
        <f t="shared" si="8"/>
        <v>-</v>
      </c>
      <c r="L36" s="213">
        <f t="shared" ref="L36" si="11">C36+F36+I36</f>
        <v>0</v>
      </c>
      <c r="M36" s="164">
        <f t="shared" ref="M36" si="12">D36+G36+J36</f>
        <v>0</v>
      </c>
      <c r="N36" s="82" t="str">
        <f t="shared" si="10"/>
        <v>-</v>
      </c>
      <c r="O36" s="141"/>
      <c r="P36" s="141"/>
      <c r="Q36" s="141"/>
      <c r="R36" s="141"/>
      <c r="S36" s="141"/>
      <c r="T36" s="141"/>
      <c r="U36" s="141"/>
      <c r="V36" s="141"/>
    </row>
    <row r="37" spans="2:22" x14ac:dyDescent="0.25">
      <c r="B37" s="57" t="s">
        <v>70</v>
      </c>
      <c r="C37" s="213">
        <v>113</v>
      </c>
      <c r="D37" s="213">
        <v>58</v>
      </c>
      <c r="E37" s="133">
        <f t="shared" si="9"/>
        <v>0.51327433628318586</v>
      </c>
      <c r="F37" s="213">
        <v>76</v>
      </c>
      <c r="G37" s="213">
        <v>40</v>
      </c>
      <c r="H37" s="133">
        <f t="shared" si="7"/>
        <v>0.52631578947368418</v>
      </c>
      <c r="I37" s="213">
        <v>157</v>
      </c>
      <c r="J37" s="213">
        <v>38</v>
      </c>
      <c r="K37" s="133">
        <f t="shared" si="8"/>
        <v>0.24203821656050956</v>
      </c>
      <c r="L37" s="213">
        <v>392</v>
      </c>
      <c r="M37" s="164">
        <v>194</v>
      </c>
      <c r="N37" s="82">
        <f t="shared" si="10"/>
        <v>0.49489795918367346</v>
      </c>
      <c r="O37" s="141"/>
      <c r="P37" s="141"/>
      <c r="Q37" s="141"/>
      <c r="R37" s="141"/>
      <c r="S37" s="141"/>
      <c r="T37" s="141"/>
      <c r="U37" s="141"/>
      <c r="V37" s="141"/>
    </row>
    <row r="38" spans="2:22" x14ac:dyDescent="0.25">
      <c r="B38" s="57" t="s">
        <v>71</v>
      </c>
      <c r="C38" s="213">
        <v>67</v>
      </c>
      <c r="D38" s="213">
        <v>26</v>
      </c>
      <c r="E38" s="133">
        <f t="shared" si="9"/>
        <v>0.38805970149253732</v>
      </c>
      <c r="F38" s="213">
        <v>55</v>
      </c>
      <c r="G38" s="213">
        <v>2</v>
      </c>
      <c r="H38" s="133">
        <f t="shared" si="7"/>
        <v>3.6363636363636362E-2</v>
      </c>
      <c r="I38" s="213">
        <v>123</v>
      </c>
      <c r="J38" s="213">
        <v>9</v>
      </c>
      <c r="K38" s="133">
        <f t="shared" si="8"/>
        <v>7.3170731707317069E-2</v>
      </c>
      <c r="L38" s="213">
        <v>246</v>
      </c>
      <c r="M38" s="164">
        <v>188</v>
      </c>
      <c r="N38" s="82">
        <f t="shared" si="10"/>
        <v>0.76422764227642281</v>
      </c>
      <c r="O38" s="141"/>
      <c r="P38" s="141"/>
      <c r="Q38" s="141"/>
      <c r="R38" s="141"/>
      <c r="S38" s="141"/>
      <c r="T38" s="141"/>
      <c r="U38" s="141"/>
      <c r="V38" s="141"/>
    </row>
    <row r="39" spans="2:22" x14ac:dyDescent="0.25">
      <c r="B39" s="57" t="s">
        <v>72</v>
      </c>
      <c r="C39" s="213">
        <v>3</v>
      </c>
      <c r="D39" s="213">
        <v>2</v>
      </c>
      <c r="E39" s="133">
        <f t="shared" si="9"/>
        <v>0.66666666666666663</v>
      </c>
      <c r="F39" s="213">
        <v>5</v>
      </c>
      <c r="G39" s="213">
        <v>1</v>
      </c>
      <c r="H39" s="133">
        <f t="shared" si="7"/>
        <v>0.2</v>
      </c>
      <c r="I39" s="213">
        <v>4</v>
      </c>
      <c r="J39" s="213">
        <v>1</v>
      </c>
      <c r="K39" s="133">
        <f t="shared" si="8"/>
        <v>0.25</v>
      </c>
      <c r="L39" s="213">
        <v>8</v>
      </c>
      <c r="M39" s="164">
        <v>4</v>
      </c>
      <c r="N39" s="82">
        <f t="shared" si="10"/>
        <v>0.5</v>
      </c>
      <c r="O39" s="141"/>
      <c r="P39" s="141"/>
      <c r="Q39" s="141"/>
      <c r="R39" s="141"/>
      <c r="S39" s="141"/>
      <c r="T39" s="141"/>
      <c r="U39" s="141"/>
      <c r="V39" s="141"/>
    </row>
    <row r="40" spans="2:22" x14ac:dyDescent="0.25">
      <c r="B40" s="57" t="s">
        <v>73</v>
      </c>
      <c r="C40" s="213">
        <v>65</v>
      </c>
      <c r="D40" s="213">
        <v>12</v>
      </c>
      <c r="E40" s="133">
        <f t="shared" si="9"/>
        <v>0.18461538461538463</v>
      </c>
      <c r="F40" s="213">
        <v>51</v>
      </c>
      <c r="G40" s="213">
        <v>10</v>
      </c>
      <c r="H40" s="133">
        <f t="shared" si="7"/>
        <v>0.19607843137254902</v>
      </c>
      <c r="I40" s="213">
        <v>55</v>
      </c>
      <c r="J40" s="213">
        <v>5</v>
      </c>
      <c r="K40" s="133">
        <f t="shared" si="8"/>
        <v>9.0909090909090912E-2</v>
      </c>
      <c r="L40" s="213">
        <v>334</v>
      </c>
      <c r="M40" s="164">
        <v>280</v>
      </c>
      <c r="N40" s="82">
        <f t="shared" si="10"/>
        <v>0.83832335329341312</v>
      </c>
      <c r="O40" s="141"/>
      <c r="P40" s="141"/>
      <c r="Q40" s="141"/>
      <c r="R40" s="141"/>
      <c r="S40" s="141"/>
      <c r="T40" s="141"/>
      <c r="U40" s="141"/>
      <c r="V40" s="141"/>
    </row>
    <row r="41" spans="2:22" x14ac:dyDescent="0.25">
      <c r="B41" s="57" t="s">
        <v>74</v>
      </c>
      <c r="C41" s="213">
        <v>1709</v>
      </c>
      <c r="D41" s="213">
        <v>518</v>
      </c>
      <c r="E41" s="133">
        <f t="shared" si="9"/>
        <v>0.30310122878876539</v>
      </c>
      <c r="F41" s="213">
        <v>3485</v>
      </c>
      <c r="G41" s="213">
        <v>964</v>
      </c>
      <c r="H41" s="133">
        <f t="shared" si="7"/>
        <v>0.27661406025824964</v>
      </c>
      <c r="I41" s="213">
        <v>3858</v>
      </c>
      <c r="J41" s="213">
        <v>229</v>
      </c>
      <c r="K41" s="133">
        <f t="shared" si="8"/>
        <v>5.9357179885951267E-2</v>
      </c>
      <c r="L41" s="213">
        <v>7094</v>
      </c>
      <c r="M41" s="164">
        <v>4534</v>
      </c>
      <c r="N41" s="82">
        <f t="shared" si="10"/>
        <v>0.63913166055821824</v>
      </c>
      <c r="O41" s="141"/>
      <c r="P41" s="141"/>
      <c r="Q41" s="141"/>
      <c r="R41" s="141"/>
      <c r="S41" s="141"/>
      <c r="T41" s="141"/>
      <c r="U41" s="141"/>
      <c r="V41" s="141"/>
    </row>
    <row r="42" spans="2:22" x14ac:dyDescent="0.25">
      <c r="B42" s="57" t="s">
        <v>76</v>
      </c>
      <c r="C42" s="213">
        <v>35</v>
      </c>
      <c r="D42" s="213">
        <v>21</v>
      </c>
      <c r="E42" s="133">
        <f t="shared" si="9"/>
        <v>0.6</v>
      </c>
      <c r="F42" s="213">
        <v>28</v>
      </c>
      <c r="G42" s="213">
        <v>21</v>
      </c>
      <c r="H42" s="133">
        <f t="shared" si="7"/>
        <v>0.75</v>
      </c>
      <c r="I42" s="213">
        <v>63</v>
      </c>
      <c r="J42" s="213">
        <v>14</v>
      </c>
      <c r="K42" s="133">
        <f t="shared" si="8"/>
        <v>0.22222222222222221</v>
      </c>
      <c r="L42" s="213">
        <v>98</v>
      </c>
      <c r="M42" s="164">
        <v>64</v>
      </c>
      <c r="N42" s="82">
        <f t="shared" si="10"/>
        <v>0.65306122448979587</v>
      </c>
      <c r="O42" s="141"/>
      <c r="P42" s="141"/>
      <c r="Q42" s="141"/>
      <c r="R42" s="141"/>
      <c r="S42" s="141"/>
      <c r="T42" s="141"/>
      <c r="U42" s="141"/>
      <c r="V42" s="141"/>
    </row>
    <row r="43" spans="2:22" x14ac:dyDescent="0.25">
      <c r="B43" s="49" t="s">
        <v>77</v>
      </c>
      <c r="C43" s="8">
        <f>SUM(C32:C42)</f>
        <v>2137</v>
      </c>
      <c r="D43" s="8">
        <f>SUM(D32:D42)</f>
        <v>688</v>
      </c>
      <c r="E43" s="8">
        <f>IFERROR(D43/C43,"-")</f>
        <v>0.32194665418811419</v>
      </c>
      <c r="F43" s="8">
        <f>SUM(F32:F42)</f>
        <v>3849</v>
      </c>
      <c r="G43" s="8">
        <f>SUM(G32:G42)</f>
        <v>1076</v>
      </c>
      <c r="H43" s="8">
        <f t="shared" si="7"/>
        <v>0.27955313068329435</v>
      </c>
      <c r="I43" s="8">
        <f>SUM(I32:I42)</f>
        <v>4526</v>
      </c>
      <c r="J43" s="8">
        <f>SUM(J32:J42)</f>
        <v>336</v>
      </c>
      <c r="K43" s="8">
        <f t="shared" si="8"/>
        <v>7.4237737516570923E-2</v>
      </c>
      <c r="L43" s="8">
        <f>SUM(L32:L42)</f>
        <v>8676</v>
      </c>
      <c r="M43" s="8">
        <f>SUM(M32:M42)</f>
        <v>5492</v>
      </c>
      <c r="N43" s="16">
        <f>+M43/L43</f>
        <v>0.63301060396496078</v>
      </c>
      <c r="O43" s="141"/>
      <c r="P43" s="141"/>
      <c r="Q43" s="141"/>
      <c r="R43" s="141"/>
      <c r="S43" s="141"/>
      <c r="T43" s="141"/>
      <c r="U43" s="141"/>
      <c r="V43" s="141"/>
    </row>
    <row r="44" spans="2:22" x14ac:dyDescent="0.25">
      <c r="B44" s="150" t="s">
        <v>246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</row>
    <row r="45" spans="2:22" x14ac:dyDescent="0.25">
      <c r="B45" s="154" t="s">
        <v>262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</row>
    <row r="46" spans="2:22" x14ac:dyDescent="0.25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2:22" x14ac:dyDescent="0.25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</row>
    <row r="48" spans="2:22" x14ac:dyDescent="0.25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</row>
    <row r="49" spans="15:22" x14ac:dyDescent="0.25">
      <c r="O49" s="141"/>
      <c r="P49" s="141"/>
      <c r="Q49" s="141"/>
      <c r="R49" s="141"/>
      <c r="S49" s="141"/>
      <c r="T49" s="141"/>
      <c r="U49" s="141"/>
      <c r="V49" s="141"/>
    </row>
    <row r="50" spans="15:22" x14ac:dyDescent="0.25">
      <c r="O50" s="141"/>
      <c r="P50" s="141"/>
      <c r="Q50" s="141"/>
      <c r="R50" s="141"/>
      <c r="S50" s="141"/>
      <c r="T50" s="141"/>
      <c r="U50" s="141"/>
      <c r="V50" s="141"/>
    </row>
    <row r="51" spans="15:22" x14ac:dyDescent="0.25">
      <c r="O51" s="141"/>
      <c r="P51" s="141"/>
      <c r="Q51" s="141"/>
      <c r="R51" s="141"/>
      <c r="S51" s="141"/>
      <c r="T51" s="141"/>
      <c r="U51" s="141"/>
      <c r="V51" s="141"/>
    </row>
    <row r="52" spans="15:22" x14ac:dyDescent="0.25">
      <c r="O52" s="141"/>
      <c r="P52" s="141"/>
      <c r="Q52" s="141"/>
      <c r="R52" s="141"/>
      <c r="S52" s="141"/>
      <c r="T52" s="141"/>
      <c r="U52" s="141"/>
      <c r="V52" s="141"/>
    </row>
    <row r="53" spans="15:22" x14ac:dyDescent="0.25">
      <c r="O53" s="141"/>
      <c r="P53" s="141"/>
      <c r="Q53" s="141"/>
      <c r="R53" s="141"/>
      <c r="S53" s="141"/>
      <c r="T53" s="141"/>
      <c r="U53" s="141"/>
      <c r="V53" s="141"/>
    </row>
    <row r="54" spans="15:22" x14ac:dyDescent="0.25">
      <c r="O54" s="141"/>
      <c r="P54" s="141"/>
      <c r="Q54" s="141"/>
      <c r="R54" s="141"/>
      <c r="S54" s="141"/>
      <c r="T54" s="141"/>
      <c r="U54" s="141"/>
      <c r="V54" s="141"/>
    </row>
  </sheetData>
  <mergeCells count="15">
    <mergeCell ref="C30:E30"/>
    <mergeCell ref="F9:H9"/>
    <mergeCell ref="F30:H30"/>
    <mergeCell ref="I9:K9"/>
    <mergeCell ref="I30:K30"/>
    <mergeCell ref="B29:N29"/>
    <mergeCell ref="L9:N9"/>
    <mergeCell ref="L30:N30"/>
    <mergeCell ref="B5:N5"/>
    <mergeCell ref="B1:N1"/>
    <mergeCell ref="B2:N2"/>
    <mergeCell ref="B3:N3"/>
    <mergeCell ref="C9:E9"/>
    <mergeCell ref="B4:N4"/>
    <mergeCell ref="B8:N8"/>
  </mergeCells>
  <pageMargins left="0.7" right="0.7" top="0.75" bottom="0.75" header="0.3" footer="0.3"/>
  <pageSetup paperSize="9" scale="41" orientation="portrait" r:id="rId1"/>
  <colBreaks count="1" manualBreakCount="1">
    <brk id="23" max="1048575" man="1"/>
  </colBreaks>
  <ignoredErrors>
    <ignoredError sqref="N43 N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83"/>
  <sheetViews>
    <sheetView showGridLines="0" tabSelected="1" zoomScaleNormal="100" zoomScaleSheetLayoutView="100" workbookViewId="0">
      <selection activeCell="C12" sqref="C12"/>
    </sheetView>
  </sheetViews>
  <sheetFormatPr baseColWidth="10" defaultColWidth="11.42578125" defaultRowHeight="15" x14ac:dyDescent="0.25"/>
  <cols>
    <col min="1" max="1" width="12.140625" style="1" customWidth="1"/>
    <col min="2" max="2" width="11.42578125" style="1"/>
    <col min="3" max="3" width="13.140625" style="1" bestFit="1" customWidth="1"/>
    <col min="4" max="4" width="12.140625" style="1" customWidth="1"/>
    <col min="5" max="5" width="13.42578125" style="1" customWidth="1"/>
    <col min="6" max="6" width="14.140625" style="1" customWidth="1"/>
    <col min="7" max="7" width="13.140625" style="1" customWidth="1"/>
    <col min="8" max="16384" width="11.42578125" style="1"/>
  </cols>
  <sheetData>
    <row r="1" spans="1:16" x14ac:dyDescent="0.25">
      <c r="A1" s="332" t="s">
        <v>0</v>
      </c>
      <c r="B1" s="332"/>
      <c r="C1" s="332"/>
      <c r="D1" s="332"/>
      <c r="E1" s="332"/>
      <c r="F1" s="332"/>
      <c r="G1" s="276"/>
    </row>
    <row r="2" spans="1:16" x14ac:dyDescent="0.25">
      <c r="A2" s="332" t="s">
        <v>114</v>
      </c>
      <c r="B2" s="332"/>
      <c r="C2" s="332"/>
      <c r="D2" s="332"/>
      <c r="E2" s="332"/>
      <c r="F2" s="332"/>
      <c r="G2" s="276"/>
    </row>
    <row r="3" spans="1:16" x14ac:dyDescent="0.25">
      <c r="A3" s="332" t="s">
        <v>207</v>
      </c>
      <c r="B3" s="332"/>
      <c r="C3" s="332"/>
      <c r="D3" s="332"/>
      <c r="E3" s="332"/>
      <c r="F3" s="332"/>
      <c r="G3" s="276"/>
    </row>
    <row r="4" spans="1:16" x14ac:dyDescent="0.25">
      <c r="A4" s="332" t="s">
        <v>239</v>
      </c>
      <c r="B4" s="332"/>
      <c r="C4" s="332"/>
      <c r="D4" s="332"/>
      <c r="E4" s="332"/>
      <c r="F4" s="332"/>
      <c r="G4" s="276"/>
    </row>
    <row r="5" spans="1:16" x14ac:dyDescent="0.25">
      <c r="A5" s="332" t="s">
        <v>218</v>
      </c>
      <c r="B5" s="332"/>
      <c r="C5" s="332"/>
      <c r="D5" s="332"/>
      <c r="E5" s="332"/>
      <c r="F5" s="332"/>
      <c r="G5" s="276"/>
      <c r="P5" s="18"/>
    </row>
    <row r="6" spans="1:16" ht="40.5" customHeight="1" x14ac:dyDescent="0.25">
      <c r="A6" s="253" t="s">
        <v>1</v>
      </c>
      <c r="B6" s="254" t="s">
        <v>231</v>
      </c>
      <c r="C6" s="254" t="s">
        <v>2</v>
      </c>
      <c r="D6" s="254" t="s">
        <v>3</v>
      </c>
      <c r="E6" s="254" t="s">
        <v>4</v>
      </c>
      <c r="F6" s="254" t="s">
        <v>5</v>
      </c>
      <c r="G6" s="254" t="s">
        <v>228</v>
      </c>
      <c r="H6"/>
      <c r="I6"/>
      <c r="J6"/>
      <c r="K6"/>
      <c r="L6"/>
      <c r="M6"/>
      <c r="N6"/>
      <c r="O6"/>
    </row>
    <row r="7" spans="1:16" x14ac:dyDescent="0.25">
      <c r="A7" s="300" t="s">
        <v>241</v>
      </c>
      <c r="B7" s="261">
        <v>93752</v>
      </c>
      <c r="C7" s="261">
        <v>30098</v>
      </c>
      <c r="D7" s="279">
        <f t="shared" ref="D7:D23" si="0">+C7/B7</f>
        <v>0.32103848451233041</v>
      </c>
      <c r="E7" s="261">
        <v>63654</v>
      </c>
      <c r="F7" s="279">
        <f t="shared" ref="F7:F23" si="1">+E7/B7</f>
        <v>0.67896151548766959</v>
      </c>
      <c r="G7" s="261">
        <f t="shared" ref="G7" si="2">+E7+F7</f>
        <v>63654.678961515485</v>
      </c>
      <c r="H7"/>
      <c r="I7"/>
      <c r="J7"/>
      <c r="K7" s="78"/>
      <c r="L7" s="78"/>
      <c r="M7"/>
      <c r="N7"/>
      <c r="O7"/>
    </row>
    <row r="8" spans="1:16" x14ac:dyDescent="0.25">
      <c r="A8" s="289" t="s">
        <v>81</v>
      </c>
      <c r="B8" s="261">
        <v>94037</v>
      </c>
      <c r="C8" s="261">
        <v>30580</v>
      </c>
      <c r="D8" s="279">
        <f t="shared" si="0"/>
        <v>0.32519114816508393</v>
      </c>
      <c r="E8" s="261">
        <v>63457</v>
      </c>
      <c r="F8" s="279">
        <f t="shared" si="1"/>
        <v>0.67480885183491601</v>
      </c>
      <c r="G8" s="261">
        <v>53296</v>
      </c>
      <c r="H8"/>
      <c r="I8"/>
      <c r="J8"/>
      <c r="K8"/>
      <c r="L8" s="78"/>
      <c r="M8"/>
      <c r="N8"/>
      <c r="O8"/>
    </row>
    <row r="9" spans="1:16" x14ac:dyDescent="0.25">
      <c r="A9" s="280" t="s">
        <v>80</v>
      </c>
      <c r="B9" s="261">
        <v>93954</v>
      </c>
      <c r="C9" s="261">
        <v>30442</v>
      </c>
      <c r="D9" s="279">
        <f t="shared" si="0"/>
        <v>0.32400962172978265</v>
      </c>
      <c r="E9" s="261">
        <v>63512</v>
      </c>
      <c r="F9" s="279">
        <f t="shared" si="1"/>
        <v>0.67599037827021735</v>
      </c>
      <c r="G9" s="261">
        <v>53238</v>
      </c>
      <c r="H9"/>
      <c r="I9"/>
      <c r="J9"/>
      <c r="K9"/>
      <c r="L9"/>
      <c r="M9"/>
      <c r="N9"/>
      <c r="O9"/>
    </row>
    <row r="10" spans="1:16" ht="24" customHeight="1" x14ac:dyDescent="0.25">
      <c r="A10" s="297" t="s">
        <v>240</v>
      </c>
      <c r="B10" s="323">
        <f>+AVERAGE(B7:B9)</f>
        <v>93914.333333333328</v>
      </c>
      <c r="C10" s="323">
        <f>+AVERAGE(C7:C9)</f>
        <v>30373.333333333332</v>
      </c>
      <c r="D10" s="324">
        <f t="shared" si="0"/>
        <v>0.32341531111686894</v>
      </c>
      <c r="E10" s="323">
        <f>+AVERAGE(E7:E9)</f>
        <v>63541</v>
      </c>
      <c r="F10" s="324">
        <f t="shared" si="1"/>
        <v>0.67658468888313117</v>
      </c>
      <c r="G10" s="287">
        <f>AVERAGE(G7:G9)</f>
        <v>56729.559653838493</v>
      </c>
      <c r="H10"/>
      <c r="I10"/>
      <c r="J10"/>
      <c r="K10"/>
      <c r="L10" s="281"/>
      <c r="M10"/>
      <c r="N10"/>
      <c r="O10"/>
    </row>
    <row r="11" spans="1:16" hidden="1" x14ac:dyDescent="0.25">
      <c r="A11" s="280" t="s">
        <v>34</v>
      </c>
      <c r="B11" s="261"/>
      <c r="C11" s="261"/>
      <c r="D11" s="279" t="e">
        <f t="shared" si="0"/>
        <v>#DIV/0!</v>
      </c>
      <c r="E11" s="261"/>
      <c r="F11" s="279" t="e">
        <f t="shared" si="1"/>
        <v>#DIV/0!</v>
      </c>
      <c r="G11" s="279"/>
      <c r="H11"/>
      <c r="I11"/>
      <c r="J11"/>
      <c r="K11" s="78"/>
      <c r="L11" s="78"/>
      <c r="M11"/>
      <c r="N11"/>
      <c r="O11"/>
    </row>
    <row r="12" spans="1:16" hidden="1" x14ac:dyDescent="0.25">
      <c r="A12" s="289" t="s">
        <v>35</v>
      </c>
      <c r="B12" s="261"/>
      <c r="C12" s="261"/>
      <c r="D12" s="279" t="e">
        <f t="shared" si="0"/>
        <v>#DIV/0!</v>
      </c>
      <c r="E12" s="261"/>
      <c r="F12" s="279" t="e">
        <f t="shared" si="1"/>
        <v>#DIV/0!</v>
      </c>
      <c r="G12" s="279"/>
      <c r="H12"/>
      <c r="I12"/>
      <c r="J12"/>
      <c r="K12"/>
      <c r="L12" s="78"/>
      <c r="M12"/>
      <c r="N12"/>
      <c r="O12"/>
    </row>
    <row r="13" spans="1:16" hidden="1" x14ac:dyDescent="0.25">
      <c r="A13" s="289" t="s">
        <v>36</v>
      </c>
      <c r="B13" s="261"/>
      <c r="C13" s="261"/>
      <c r="D13" s="279" t="e">
        <f t="shared" si="0"/>
        <v>#DIV/0!</v>
      </c>
      <c r="E13" s="261"/>
      <c r="F13" s="279" t="e">
        <f t="shared" si="1"/>
        <v>#DIV/0!</v>
      </c>
      <c r="G13" s="279"/>
      <c r="H13"/>
      <c r="I13"/>
      <c r="J13"/>
      <c r="K13"/>
      <c r="L13"/>
      <c r="M13"/>
      <c r="N13"/>
      <c r="O13"/>
    </row>
    <row r="14" spans="1:16" ht="24" hidden="1" customHeight="1" x14ac:dyDescent="0.25">
      <c r="A14" s="288" t="s">
        <v>124</v>
      </c>
      <c r="B14" s="287" t="e">
        <f>+AVERAGE(B11:B13)</f>
        <v>#DIV/0!</v>
      </c>
      <c r="C14" s="287" t="e">
        <f>+AVERAGE(C11:C13)</f>
        <v>#DIV/0!</v>
      </c>
      <c r="D14" s="16" t="e">
        <f t="shared" si="0"/>
        <v>#DIV/0!</v>
      </c>
      <c r="E14" s="287" t="e">
        <f>+AVERAGE(E11:E13)</f>
        <v>#DIV/0!</v>
      </c>
      <c r="F14" s="16" t="e">
        <f t="shared" si="1"/>
        <v>#DIV/0!</v>
      </c>
      <c r="G14" s="16"/>
      <c r="H14"/>
      <c r="I14"/>
      <c r="J14"/>
      <c r="K14"/>
      <c r="L14" s="281"/>
      <c r="M14"/>
      <c r="N14"/>
      <c r="O14"/>
    </row>
    <row r="15" spans="1:16" hidden="1" x14ac:dyDescent="0.25">
      <c r="A15" s="280" t="s">
        <v>80</v>
      </c>
      <c r="B15" s="261"/>
      <c r="C15" s="261"/>
      <c r="D15" s="279" t="e">
        <f t="shared" si="0"/>
        <v>#DIV/0!</v>
      </c>
      <c r="E15" s="261"/>
      <c r="F15" s="279" t="e">
        <f t="shared" si="1"/>
        <v>#DIV/0!</v>
      </c>
      <c r="G15" s="279"/>
      <c r="H15"/>
      <c r="I15"/>
      <c r="J15"/>
      <c r="K15" s="78"/>
      <c r="L15" s="78"/>
      <c r="M15"/>
      <c r="N15"/>
      <c r="O15"/>
    </row>
    <row r="16" spans="1:16" hidden="1" x14ac:dyDescent="0.25">
      <c r="A16" s="289" t="s">
        <v>81</v>
      </c>
      <c r="B16" s="261"/>
      <c r="C16" s="261"/>
      <c r="D16" s="279" t="e">
        <f t="shared" si="0"/>
        <v>#DIV/0!</v>
      </c>
      <c r="E16" s="261"/>
      <c r="F16" s="279" t="e">
        <f t="shared" si="1"/>
        <v>#DIV/0!</v>
      </c>
      <c r="G16" s="279"/>
      <c r="H16"/>
      <c r="I16"/>
      <c r="J16"/>
      <c r="K16"/>
      <c r="L16" s="78"/>
      <c r="M16"/>
      <c r="N16"/>
      <c r="O16"/>
    </row>
    <row r="17" spans="1:15" hidden="1" x14ac:dyDescent="0.25">
      <c r="A17" s="289" t="s">
        <v>82</v>
      </c>
      <c r="B17" s="261"/>
      <c r="C17" s="261"/>
      <c r="D17" s="279" t="e">
        <f t="shared" si="0"/>
        <v>#DIV/0!</v>
      </c>
      <c r="E17" s="261"/>
      <c r="F17" s="279" t="e">
        <f t="shared" si="1"/>
        <v>#DIV/0!</v>
      </c>
      <c r="G17" s="279"/>
      <c r="H17"/>
      <c r="I17"/>
      <c r="J17"/>
      <c r="K17"/>
      <c r="L17"/>
      <c r="M17"/>
      <c r="N17"/>
      <c r="O17"/>
    </row>
    <row r="18" spans="1:15" ht="24" hidden="1" customHeight="1" x14ac:dyDescent="0.25">
      <c r="A18" s="288" t="s">
        <v>125</v>
      </c>
      <c r="B18" s="287" t="e">
        <f>+AVERAGE(B15:B17)</f>
        <v>#DIV/0!</v>
      </c>
      <c r="C18" s="287" t="e">
        <f>+AVERAGE(C15:C17)</f>
        <v>#DIV/0!</v>
      </c>
      <c r="D18" s="16" t="e">
        <f t="shared" si="0"/>
        <v>#DIV/0!</v>
      </c>
      <c r="E18" s="287" t="e">
        <f>+AVERAGE(E15:E17)</f>
        <v>#DIV/0!</v>
      </c>
      <c r="F18" s="16" t="e">
        <f t="shared" si="1"/>
        <v>#DIV/0!</v>
      </c>
      <c r="G18" s="16"/>
      <c r="H18"/>
      <c r="I18"/>
      <c r="J18"/>
      <c r="K18"/>
      <c r="L18" s="281"/>
      <c r="M18"/>
      <c r="N18"/>
      <c r="O18"/>
    </row>
    <row r="19" spans="1:15" hidden="1" x14ac:dyDescent="0.25">
      <c r="A19" s="280" t="s">
        <v>83</v>
      </c>
      <c r="B19" s="261"/>
      <c r="C19" s="261"/>
      <c r="D19" s="279" t="e">
        <f t="shared" si="0"/>
        <v>#DIV/0!</v>
      </c>
      <c r="E19" s="261"/>
      <c r="F19" s="279" t="e">
        <f t="shared" si="1"/>
        <v>#DIV/0!</v>
      </c>
      <c r="G19" s="279"/>
      <c r="H19"/>
      <c r="I19"/>
      <c r="J19"/>
      <c r="K19" s="78"/>
      <c r="L19" s="78"/>
      <c r="M19"/>
      <c r="N19"/>
      <c r="O19"/>
    </row>
    <row r="20" spans="1:15" hidden="1" x14ac:dyDescent="0.25">
      <c r="A20" s="289" t="s">
        <v>84</v>
      </c>
      <c r="B20" s="261"/>
      <c r="C20" s="261"/>
      <c r="D20" s="279" t="e">
        <f t="shared" si="0"/>
        <v>#DIV/0!</v>
      </c>
      <c r="E20" s="261"/>
      <c r="F20" s="279" t="e">
        <f t="shared" si="1"/>
        <v>#DIV/0!</v>
      </c>
      <c r="G20" s="279"/>
      <c r="H20"/>
      <c r="I20"/>
      <c r="J20"/>
      <c r="K20"/>
      <c r="L20" s="78"/>
      <c r="M20"/>
      <c r="N20"/>
      <c r="O20"/>
    </row>
    <row r="21" spans="1:15" hidden="1" x14ac:dyDescent="0.25">
      <c r="A21" s="289" t="s">
        <v>85</v>
      </c>
      <c r="B21" s="261"/>
      <c r="C21" s="261"/>
      <c r="D21" s="279" t="e">
        <f t="shared" si="0"/>
        <v>#DIV/0!</v>
      </c>
      <c r="E21" s="261"/>
      <c r="F21" s="279" t="e">
        <f t="shared" si="1"/>
        <v>#DIV/0!</v>
      </c>
      <c r="G21" s="279"/>
      <c r="H21"/>
      <c r="I21"/>
      <c r="J21"/>
      <c r="K21"/>
      <c r="L21"/>
      <c r="M21"/>
      <c r="N21"/>
      <c r="O21"/>
    </row>
    <row r="22" spans="1:15" ht="24" hidden="1" customHeight="1" x14ac:dyDescent="0.25">
      <c r="A22" s="288" t="s">
        <v>126</v>
      </c>
      <c r="B22" s="287" t="e">
        <f>+AVERAGE(B19:B21)</f>
        <v>#DIV/0!</v>
      </c>
      <c r="C22" s="287" t="e">
        <f>+AVERAGE(C19:C21)</f>
        <v>#DIV/0!</v>
      </c>
      <c r="D22" s="16" t="e">
        <f t="shared" si="0"/>
        <v>#DIV/0!</v>
      </c>
      <c r="E22" s="287" t="e">
        <f>+AVERAGE(E19:E21)</f>
        <v>#DIV/0!</v>
      </c>
      <c r="F22" s="16" t="e">
        <f t="shared" si="1"/>
        <v>#DIV/0!</v>
      </c>
      <c r="G22" s="16"/>
      <c r="H22"/>
      <c r="I22"/>
      <c r="J22"/>
      <c r="K22"/>
      <c r="L22" s="281"/>
      <c r="M22"/>
      <c r="N22"/>
      <c r="O22"/>
    </row>
    <row r="23" spans="1:15" hidden="1" x14ac:dyDescent="0.25">
      <c r="A23" s="286" t="s">
        <v>9</v>
      </c>
      <c r="B23" s="285" t="e">
        <f>+AVERAGE(B10,B14,B18,B22)</f>
        <v>#DIV/0!</v>
      </c>
      <c r="C23" s="285" t="e">
        <f>+AVERAGE(C10,C14,C18,C22)</f>
        <v>#DIV/0!</v>
      </c>
      <c r="D23" s="17" t="e">
        <f t="shared" si="0"/>
        <v>#DIV/0!</v>
      </c>
      <c r="E23" s="285" t="e">
        <f>+AVERAGE(E10,E14,E18,E22,)</f>
        <v>#DIV/0!</v>
      </c>
      <c r="F23" s="17" t="e">
        <f t="shared" si="1"/>
        <v>#DIV/0!</v>
      </c>
      <c r="G23" s="17"/>
      <c r="H23"/>
      <c r="I23"/>
      <c r="J23"/>
      <c r="K23"/>
      <c r="L23" s="281"/>
      <c r="M23"/>
      <c r="N23"/>
      <c r="O23"/>
    </row>
    <row r="24" spans="1:15" ht="12" customHeight="1" x14ac:dyDescent="0.25">
      <c r="A24" s="284" t="s">
        <v>263</v>
      </c>
      <c r="B24" s="284"/>
      <c r="C24" s="284"/>
      <c r="D24" s="284"/>
      <c r="E24" s="284"/>
      <c r="F24" s="284"/>
      <c r="G24" s="284"/>
      <c r="H24"/>
      <c r="I24"/>
      <c r="J24"/>
      <c r="K24"/>
      <c r="L24" s="281"/>
      <c r="M24"/>
      <c r="N24"/>
      <c r="O24"/>
    </row>
    <row r="25" spans="1:15" ht="11.25" customHeight="1" x14ac:dyDescent="0.25">
      <c r="A25" s="283"/>
      <c r="B25" s="262"/>
      <c r="C25"/>
      <c r="D25" s="281"/>
      <c r="E25"/>
      <c r="F25" s="281"/>
      <c r="G25" s="281"/>
      <c r="H25"/>
      <c r="I25"/>
      <c r="J25"/>
      <c r="K25"/>
      <c r="L25" s="281"/>
      <c r="M25"/>
      <c r="N25"/>
      <c r="O25"/>
    </row>
    <row r="26" spans="1:15" x14ac:dyDescent="0.25">
      <c r="A26" s="282"/>
      <c r="B26" s="261"/>
      <c r="C26" s="261"/>
      <c r="D26" s="279"/>
      <c r="E26" s="261"/>
      <c r="F26" s="279"/>
      <c r="G26" s="279"/>
      <c r="H26"/>
      <c r="I26"/>
      <c r="J26"/>
      <c r="K26"/>
      <c r="L26" s="281"/>
      <c r="M26"/>
      <c r="N26"/>
      <c r="O26"/>
    </row>
    <row r="27" spans="1:15" x14ac:dyDescent="0.25">
      <c r="A27" s="280"/>
      <c r="B27" s="261"/>
      <c r="C27" s="261"/>
      <c r="D27" s="279"/>
      <c r="E27" s="261"/>
      <c r="F27" s="279"/>
      <c r="G27" s="279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 t="s">
        <v>247</v>
      </c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58" spans="2:3" x14ac:dyDescent="0.25">
      <c r="B58"/>
      <c r="C58" s="295"/>
    </row>
    <row r="59" spans="2:3" x14ac:dyDescent="0.25">
      <c r="B59"/>
      <c r="C59" s="296"/>
    </row>
    <row r="74" spans="5:9" x14ac:dyDescent="0.25">
      <c r="E74"/>
      <c r="F74"/>
      <c r="G74"/>
      <c r="H74"/>
      <c r="I74"/>
    </row>
    <row r="75" spans="5:9" x14ac:dyDescent="0.25">
      <c r="E75"/>
      <c r="F75"/>
      <c r="G75"/>
      <c r="H75"/>
      <c r="I75"/>
    </row>
    <row r="76" spans="5:9" x14ac:dyDescent="0.25">
      <c r="E76"/>
      <c r="F76"/>
      <c r="G76"/>
      <c r="H76"/>
      <c r="I76"/>
    </row>
    <row r="77" spans="5:9" x14ac:dyDescent="0.25">
      <c r="E77"/>
      <c r="F77"/>
      <c r="G77"/>
      <c r="H77"/>
      <c r="I77"/>
    </row>
    <row r="78" spans="5:9" x14ac:dyDescent="0.25">
      <c r="E78"/>
      <c r="F78"/>
      <c r="G78"/>
      <c r="H78"/>
      <c r="I78"/>
    </row>
    <row r="79" spans="5:9" x14ac:dyDescent="0.25">
      <c r="E79"/>
      <c r="F79"/>
      <c r="G79"/>
      <c r="H79"/>
      <c r="I79"/>
    </row>
    <row r="80" spans="5:9" x14ac:dyDescent="0.25">
      <c r="E80"/>
      <c r="F80"/>
      <c r="G80"/>
      <c r="H80"/>
      <c r="I80"/>
    </row>
    <row r="81" spans="5:9" x14ac:dyDescent="0.25">
      <c r="E81"/>
      <c r="F81"/>
      <c r="G81"/>
      <c r="H81"/>
      <c r="I81"/>
    </row>
    <row r="82" spans="5:9" x14ac:dyDescent="0.25">
      <c r="E82"/>
      <c r="F82"/>
      <c r="G82"/>
      <c r="H82"/>
      <c r="I82"/>
    </row>
    <row r="83" spans="5:9" x14ac:dyDescent="0.25">
      <c r="E83"/>
      <c r="F83"/>
      <c r="G83"/>
      <c r="H83"/>
      <c r="I83"/>
    </row>
  </sheetData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46"/>
  <sheetViews>
    <sheetView showGridLines="0" tabSelected="1" zoomScale="115" zoomScaleNormal="115" workbookViewId="0">
      <selection activeCell="C12" sqref="C12"/>
    </sheetView>
  </sheetViews>
  <sheetFormatPr baseColWidth="10" defaultColWidth="11.42578125" defaultRowHeight="15" x14ac:dyDescent="0.25"/>
  <cols>
    <col min="1" max="1" width="12.42578125" style="1" customWidth="1"/>
    <col min="2" max="2" width="14.42578125" style="1" customWidth="1"/>
    <col min="3" max="11" width="11.42578125" style="1"/>
    <col min="12" max="12" width="0" style="1" hidden="1" customWidth="1"/>
    <col min="13" max="13" width="12.7109375" style="1" hidden="1" customWidth="1"/>
    <col min="14" max="15" width="0" style="1" hidden="1" customWidth="1"/>
    <col min="16" max="16384" width="11.42578125" style="1"/>
  </cols>
  <sheetData>
    <row r="1" spans="1:15" x14ac:dyDescent="0.25">
      <c r="A1" s="332" t="s">
        <v>0</v>
      </c>
      <c r="B1" s="332"/>
      <c r="C1" s="332"/>
      <c r="D1" s="332"/>
      <c r="E1" s="332"/>
      <c r="F1" s="332"/>
    </row>
    <row r="2" spans="1:15" x14ac:dyDescent="0.25">
      <c r="A2" s="332" t="s">
        <v>114</v>
      </c>
      <c r="B2" s="332"/>
      <c r="C2" s="332"/>
      <c r="D2" s="332"/>
      <c r="E2" s="332"/>
      <c r="F2" s="332"/>
    </row>
    <row r="3" spans="1:15" x14ac:dyDescent="0.25">
      <c r="A3" s="332" t="s">
        <v>7</v>
      </c>
      <c r="B3" s="332"/>
      <c r="C3" s="332"/>
      <c r="D3" s="332"/>
      <c r="E3" s="332"/>
      <c r="F3" s="332"/>
    </row>
    <row r="4" spans="1:15" x14ac:dyDescent="0.25">
      <c r="A4" s="332" t="s">
        <v>239</v>
      </c>
      <c r="B4" s="332"/>
      <c r="C4" s="332"/>
      <c r="D4" s="332"/>
      <c r="E4" s="332"/>
      <c r="F4" s="332"/>
    </row>
    <row r="5" spans="1:15" x14ac:dyDescent="0.25">
      <c r="A5" s="334" t="s">
        <v>218</v>
      </c>
      <c r="B5" s="334"/>
      <c r="C5" s="334"/>
      <c r="D5" s="334"/>
      <c r="E5" s="334"/>
      <c r="F5" s="334"/>
    </row>
    <row r="6" spans="1:15" ht="30.75" customHeight="1" x14ac:dyDescent="0.25">
      <c r="A6" s="333" t="s">
        <v>155</v>
      </c>
      <c r="B6" s="333"/>
      <c r="C6" s="333"/>
      <c r="D6" s="333"/>
      <c r="E6" s="333"/>
      <c r="F6" s="333"/>
      <c r="G6" s="141"/>
      <c r="H6" s="141"/>
      <c r="I6" s="141"/>
      <c r="J6" s="141"/>
      <c r="K6" s="141"/>
    </row>
    <row r="7" spans="1:15" ht="15" customHeight="1" x14ac:dyDescent="0.25">
      <c r="A7" s="155"/>
      <c r="B7" s="156" t="s">
        <v>48</v>
      </c>
      <c r="C7" s="156" t="s">
        <v>8</v>
      </c>
      <c r="D7" s="156" t="s">
        <v>9</v>
      </c>
      <c r="E7" s="156" t="s">
        <v>91</v>
      </c>
      <c r="F7" s="156" t="s">
        <v>90</v>
      </c>
      <c r="G7" s="141"/>
      <c r="H7" s="141"/>
      <c r="I7" s="141"/>
      <c r="J7" s="141"/>
      <c r="K7" s="141"/>
      <c r="L7" s="1" t="s">
        <v>208</v>
      </c>
    </row>
    <row r="8" spans="1:15" x14ac:dyDescent="0.25">
      <c r="A8" s="298" t="s">
        <v>241</v>
      </c>
      <c r="B8" s="247">
        <v>24379</v>
      </c>
      <c r="C8" s="247">
        <v>5719</v>
      </c>
      <c r="D8" s="19">
        <f>+B8+C8</f>
        <v>30098</v>
      </c>
      <c r="E8" s="20">
        <f>B8/D8</f>
        <v>0.80998737457638381</v>
      </c>
      <c r="F8" s="20">
        <f>+C8/D8</f>
        <v>0.19001262542361619</v>
      </c>
      <c r="G8" s="141"/>
      <c r="H8" s="141"/>
      <c r="I8" s="141"/>
      <c r="J8" s="141"/>
      <c r="K8" s="141"/>
      <c r="L8" s="14">
        <v>29288</v>
      </c>
    </row>
    <row r="9" spans="1:15" x14ac:dyDescent="0.25">
      <c r="A9" s="298" t="s">
        <v>81</v>
      </c>
      <c r="B9" s="247">
        <v>24770</v>
      </c>
      <c r="C9" s="247">
        <v>5810</v>
      </c>
      <c r="D9" s="19">
        <f t="shared" ref="D9:D22" si="0">+B9+C9</f>
        <v>30580</v>
      </c>
      <c r="E9" s="20">
        <f>B9/D9</f>
        <v>0.81000654022236751</v>
      </c>
      <c r="F9" s="20">
        <f>+C9/D9</f>
        <v>0.18999345977763243</v>
      </c>
      <c r="G9" s="141"/>
      <c r="H9" s="141"/>
      <c r="I9" s="141"/>
      <c r="J9" s="141"/>
      <c r="K9" s="141"/>
      <c r="L9" s="14">
        <v>29900</v>
      </c>
      <c r="O9" s="14">
        <f>+D9-D8</f>
        <v>482</v>
      </c>
    </row>
    <row r="10" spans="1:15" x14ac:dyDescent="0.25">
      <c r="A10" s="298" t="s">
        <v>80</v>
      </c>
      <c r="B10" s="247">
        <v>24658</v>
      </c>
      <c r="C10" s="247">
        <v>5784</v>
      </c>
      <c r="D10" s="19">
        <f>+B10+C10</f>
        <v>30442</v>
      </c>
      <c r="E10" s="20">
        <f>B10/D10</f>
        <v>0.80999934301294263</v>
      </c>
      <c r="F10" s="20">
        <f>+C10/D10</f>
        <v>0.19000065698705734</v>
      </c>
      <c r="G10" s="141"/>
      <c r="H10" s="141"/>
      <c r="I10" s="141"/>
      <c r="J10" s="141"/>
      <c r="K10" s="141"/>
      <c r="L10" s="14">
        <v>30160</v>
      </c>
      <c r="O10" s="14">
        <f>+D10-D9</f>
        <v>-138</v>
      </c>
    </row>
    <row r="11" spans="1:15" ht="25.5" x14ac:dyDescent="0.25">
      <c r="A11" s="153" t="s">
        <v>125</v>
      </c>
      <c r="B11" s="85">
        <f>AVERAGE(B8:B10)</f>
        <v>24602.333333333332</v>
      </c>
      <c r="C11" s="85">
        <f>AVERAGE(C8:C10)</f>
        <v>5771</v>
      </c>
      <c r="D11" s="85">
        <f>AVERAGE(D8:D10)</f>
        <v>30373.333333333332</v>
      </c>
      <c r="E11" s="16">
        <f>+AVERAGE(E8:E10)</f>
        <v>0.80999775260389806</v>
      </c>
      <c r="F11" s="16">
        <f>+AVERAGE(F8:F10)</f>
        <v>0.19000224739610197</v>
      </c>
      <c r="G11" s="141"/>
      <c r="H11" s="141"/>
      <c r="I11" s="141"/>
      <c r="J11" s="141"/>
      <c r="K11" s="141"/>
      <c r="L11" s="14">
        <v>29782.666666666668</v>
      </c>
      <c r="M11" s="79">
        <f>+(D11-L11)/D11*100</f>
        <v>1.9446883230904224</v>
      </c>
      <c r="O11" s="14">
        <f>+D11-L11</f>
        <v>590.66666666666424</v>
      </c>
    </row>
    <row r="12" spans="1:15" hidden="1" x14ac:dyDescent="0.25">
      <c r="A12" s="57" t="s">
        <v>34</v>
      </c>
      <c r="B12" s="157"/>
      <c r="C12" s="157"/>
      <c r="D12" s="19">
        <f>+B12+C12</f>
        <v>0</v>
      </c>
      <c r="E12" s="20" t="e">
        <f>+B12/D12</f>
        <v>#DIV/0!</v>
      </c>
      <c r="F12" s="20" t="e">
        <f>+C12/D12</f>
        <v>#DIV/0!</v>
      </c>
      <c r="G12" s="141"/>
      <c r="H12" s="141"/>
      <c r="I12" s="141"/>
      <c r="J12" s="141"/>
      <c r="K12" s="141"/>
    </row>
    <row r="13" spans="1:15" hidden="1" x14ac:dyDescent="0.25">
      <c r="A13" s="57" t="s">
        <v>35</v>
      </c>
      <c r="B13" s="157"/>
      <c r="C13" s="157"/>
      <c r="D13" s="19">
        <f t="shared" si="0"/>
        <v>0</v>
      </c>
      <c r="E13" s="20" t="e">
        <f>+B13/D13</f>
        <v>#DIV/0!</v>
      </c>
      <c r="F13" s="20" t="e">
        <f>+C13/D13</f>
        <v>#DIV/0!</v>
      </c>
      <c r="G13" s="141"/>
      <c r="H13" s="141"/>
      <c r="I13" s="141"/>
      <c r="J13" s="141"/>
      <c r="K13" s="141"/>
    </row>
    <row r="14" spans="1:15" hidden="1" x14ac:dyDescent="0.25">
      <c r="A14" s="57" t="s">
        <v>36</v>
      </c>
      <c r="B14" s="157"/>
      <c r="C14" s="157"/>
      <c r="D14" s="19">
        <f t="shared" si="0"/>
        <v>0</v>
      </c>
      <c r="E14" s="20" t="e">
        <f>+B14/D14</f>
        <v>#DIV/0!</v>
      </c>
      <c r="F14" s="20" t="e">
        <f>+C14/D14</f>
        <v>#DIV/0!</v>
      </c>
      <c r="G14" s="141"/>
      <c r="H14" s="141"/>
      <c r="I14" s="141"/>
      <c r="J14" s="141"/>
      <c r="K14" s="141"/>
    </row>
    <row r="15" spans="1:15" ht="25.5" hidden="1" x14ac:dyDescent="0.25">
      <c r="A15" s="153" t="s">
        <v>124</v>
      </c>
      <c r="B15" s="8" t="e">
        <f>AVERAGE(B12:B14)</f>
        <v>#DIV/0!</v>
      </c>
      <c r="C15" s="8" t="e">
        <f>AVERAGE(C12:C14)</f>
        <v>#DIV/0!</v>
      </c>
      <c r="D15" s="8">
        <f>AVERAGE(D12:D14)</f>
        <v>0</v>
      </c>
      <c r="E15" s="16" t="e">
        <f>+AVERAGE(E12:E14)</f>
        <v>#DIV/0!</v>
      </c>
      <c r="F15" s="16" t="e">
        <f>+AVERAGE(F12:F14)</f>
        <v>#DIV/0!</v>
      </c>
      <c r="G15" s="141"/>
      <c r="H15" s="141"/>
      <c r="I15" s="141"/>
      <c r="J15" s="141"/>
      <c r="K15" s="141"/>
    </row>
    <row r="16" spans="1:15" hidden="1" x14ac:dyDescent="0.25">
      <c r="A16" s="57" t="s">
        <v>80</v>
      </c>
      <c r="B16" s="157"/>
      <c r="C16" s="157"/>
      <c r="D16" s="19">
        <f t="shared" si="0"/>
        <v>0</v>
      </c>
      <c r="E16" s="20" t="e">
        <f>+B16/D16</f>
        <v>#DIV/0!</v>
      </c>
      <c r="F16" s="20" t="e">
        <f>+C16/D16</f>
        <v>#DIV/0!</v>
      </c>
      <c r="G16" s="141"/>
      <c r="H16" s="141"/>
      <c r="I16" s="141"/>
      <c r="J16" s="141"/>
      <c r="K16" s="141"/>
    </row>
    <row r="17" spans="1:13" hidden="1" x14ac:dyDescent="0.25">
      <c r="A17" s="57" t="s">
        <v>81</v>
      </c>
      <c r="B17" s="157"/>
      <c r="C17" s="157"/>
      <c r="D17" s="19">
        <f t="shared" si="0"/>
        <v>0</v>
      </c>
      <c r="E17" s="20" t="e">
        <f>+B17/D17</f>
        <v>#DIV/0!</v>
      </c>
      <c r="F17" s="20" t="e">
        <f>+C17/D17</f>
        <v>#DIV/0!</v>
      </c>
      <c r="G17" s="141"/>
      <c r="H17" s="141"/>
      <c r="I17" s="141"/>
      <c r="J17" s="141"/>
      <c r="K17" s="141"/>
    </row>
    <row r="18" spans="1:13" hidden="1" x14ac:dyDescent="0.25">
      <c r="A18" s="57" t="s">
        <v>82</v>
      </c>
      <c r="B18" s="157"/>
      <c r="C18" s="157"/>
      <c r="D18" s="19">
        <f t="shared" si="0"/>
        <v>0</v>
      </c>
      <c r="E18" s="20" t="e">
        <f>+B18/D18</f>
        <v>#DIV/0!</v>
      </c>
      <c r="F18" s="20" t="e">
        <f>+C18/D18</f>
        <v>#DIV/0!</v>
      </c>
      <c r="G18" s="141"/>
      <c r="H18" s="141"/>
      <c r="I18" s="141"/>
      <c r="J18" s="141"/>
      <c r="K18" s="141"/>
    </row>
    <row r="19" spans="1:13" ht="25.5" hidden="1" x14ac:dyDescent="0.25">
      <c r="A19" s="153" t="s">
        <v>125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 s="141"/>
      <c r="H19" s="141"/>
      <c r="I19" s="141"/>
      <c r="J19" s="141"/>
      <c r="K19" s="141"/>
    </row>
    <row r="20" spans="1:13" hidden="1" x14ac:dyDescent="0.25">
      <c r="A20" s="57" t="s">
        <v>83</v>
      </c>
      <c r="B20" s="157"/>
      <c r="C20" s="157"/>
      <c r="D20" s="19">
        <f t="shared" si="0"/>
        <v>0</v>
      </c>
      <c r="E20" s="20" t="e">
        <f>+B20/D20</f>
        <v>#DIV/0!</v>
      </c>
      <c r="F20" s="20" t="e">
        <f>+C20/D20</f>
        <v>#DIV/0!</v>
      </c>
      <c r="G20" s="141"/>
      <c r="H20" s="141"/>
      <c r="I20" s="141"/>
      <c r="J20" s="141"/>
      <c r="K20" s="141"/>
    </row>
    <row r="21" spans="1:13" hidden="1" x14ac:dyDescent="0.25">
      <c r="A21" s="57" t="s">
        <v>84</v>
      </c>
      <c r="B21" s="157"/>
      <c r="C21" s="157"/>
      <c r="D21" s="19">
        <f t="shared" si="0"/>
        <v>0</v>
      </c>
      <c r="E21" s="20" t="e">
        <f>+B21/D21</f>
        <v>#DIV/0!</v>
      </c>
      <c r="F21" s="20" t="e">
        <f>+C21/D21</f>
        <v>#DIV/0!</v>
      </c>
      <c r="G21" s="141"/>
      <c r="H21" s="141"/>
      <c r="I21" s="141"/>
      <c r="J21" s="141"/>
      <c r="K21" s="141"/>
    </row>
    <row r="22" spans="1:13" hidden="1" x14ac:dyDescent="0.25">
      <c r="A22" s="57" t="s">
        <v>85</v>
      </c>
      <c r="B22" s="157"/>
      <c r="C22" s="157"/>
      <c r="D22" s="19">
        <f t="shared" si="0"/>
        <v>0</v>
      </c>
      <c r="E22" s="20" t="e">
        <f>+B22/D22</f>
        <v>#DIV/0!</v>
      </c>
      <c r="F22" s="20" t="e">
        <f>+C22/D22</f>
        <v>#DIV/0!</v>
      </c>
      <c r="G22" s="141"/>
      <c r="H22" s="141"/>
      <c r="I22" s="141"/>
      <c r="J22" s="141"/>
      <c r="K22" s="141"/>
    </row>
    <row r="23" spans="1:13" ht="25.5" hidden="1" x14ac:dyDescent="0.25">
      <c r="A23" s="153" t="s">
        <v>126</v>
      </c>
      <c r="B23" s="8" t="e">
        <f t="shared" ref="B23:D24" si="1">AVERAGE(B20:B22)</f>
        <v>#DIV/0!</v>
      </c>
      <c r="C23" s="8" t="e">
        <f t="shared" si="1"/>
        <v>#DIV/0!</v>
      </c>
      <c r="D23" s="8">
        <f t="shared" si="1"/>
        <v>0</v>
      </c>
      <c r="E23" s="16" t="e">
        <f>+AVERAGE(E20:E22)</f>
        <v>#DIV/0!</v>
      </c>
      <c r="F23" s="16" t="e">
        <f>+AVERAGE(F20:F22)</f>
        <v>#DIV/0!</v>
      </c>
      <c r="G23" s="141"/>
      <c r="H23" s="141"/>
      <c r="I23" s="141"/>
      <c r="J23" s="141"/>
      <c r="K23" s="141"/>
    </row>
    <row r="24" spans="1:13" hidden="1" x14ac:dyDescent="0.25">
      <c r="A24" s="30" t="s">
        <v>9</v>
      </c>
      <c r="B24" s="10" t="e">
        <f t="shared" si="1"/>
        <v>#DIV/0!</v>
      </c>
      <c r="C24" s="10" t="e">
        <f t="shared" si="1"/>
        <v>#DIV/0!</v>
      </c>
      <c r="D24" s="17">
        <f t="shared" si="1"/>
        <v>0</v>
      </c>
      <c r="E24" s="10" t="e">
        <f>+AVERAGE(E21:E23)</f>
        <v>#DIV/0!</v>
      </c>
      <c r="F24" s="17" t="e">
        <f>+AVERAGE(F21:F23)</f>
        <v>#DIV/0!</v>
      </c>
      <c r="G24" s="141"/>
      <c r="H24" s="141"/>
      <c r="I24" s="151"/>
      <c r="J24" s="151"/>
      <c r="K24" s="151"/>
    </row>
    <row r="25" spans="1:13" x14ac:dyDescent="0.25">
      <c r="A25" s="318" t="s">
        <v>264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M25" s="14">
        <f>+D11-L11</f>
        <v>590.66666666666424</v>
      </c>
    </row>
    <row r="26" spans="1:13" x14ac:dyDescent="0.25">
      <c r="A26" s="275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8"/>
    </row>
    <row r="27" spans="1:13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3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3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3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3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3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5" spans="1:11" x14ac:dyDescent="0.25">
      <c r="A45" s="57"/>
      <c r="B45" s="152"/>
      <c r="C45" s="152"/>
      <c r="D45" s="19"/>
      <c r="E45" s="20"/>
      <c r="F45" s="20"/>
    </row>
    <row r="46" spans="1:11" x14ac:dyDescent="0.25">
      <c r="A46" s="57"/>
      <c r="B46" s="152"/>
      <c r="C46" s="152"/>
      <c r="D46" s="19"/>
      <c r="E46" s="20"/>
      <c r="F46" s="20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7" orientation="portrait" r:id="rId1"/>
  <ignoredErrors>
    <ignoredError sqref="F11 D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42"/>
  <sheetViews>
    <sheetView showGridLines="0" tabSelected="1" zoomScale="115" zoomScaleNormal="115" workbookViewId="0">
      <selection activeCell="C12" sqref="C12"/>
    </sheetView>
  </sheetViews>
  <sheetFormatPr baseColWidth="10" defaultColWidth="11.42578125" defaultRowHeight="15" x14ac:dyDescent="0.25"/>
  <cols>
    <col min="1" max="1" width="11.42578125" style="1"/>
    <col min="2" max="2" width="16.5703125" style="1" customWidth="1"/>
    <col min="3" max="3" width="19.7109375" style="1" customWidth="1"/>
    <col min="4" max="4" width="20" style="1" customWidth="1"/>
    <col min="5" max="16384" width="11.42578125" style="1"/>
  </cols>
  <sheetData>
    <row r="1" spans="1:11" x14ac:dyDescent="0.25">
      <c r="A1" s="332" t="s">
        <v>0</v>
      </c>
      <c r="B1" s="332"/>
      <c r="C1" s="332"/>
      <c r="D1" s="332"/>
      <c r="E1" s="21"/>
      <c r="F1" s="21"/>
    </row>
    <row r="2" spans="1:11" x14ac:dyDescent="0.25">
      <c r="A2" s="332" t="s">
        <v>114</v>
      </c>
      <c r="B2" s="332"/>
      <c r="C2" s="332"/>
      <c r="D2" s="332"/>
      <c r="E2" s="22"/>
      <c r="F2" s="22"/>
    </row>
    <row r="3" spans="1:11" x14ac:dyDescent="0.25">
      <c r="A3" s="332" t="s">
        <v>12</v>
      </c>
      <c r="B3" s="332"/>
      <c r="C3" s="332"/>
      <c r="D3" s="332"/>
      <c r="E3" s="22"/>
      <c r="F3" s="22"/>
    </row>
    <row r="4" spans="1:11" x14ac:dyDescent="0.25">
      <c r="A4" s="332" t="s">
        <v>239</v>
      </c>
      <c r="B4" s="332"/>
      <c r="C4" s="332"/>
      <c r="D4" s="332"/>
      <c r="E4" s="21"/>
      <c r="F4" s="21"/>
    </row>
    <row r="5" spans="1:11" x14ac:dyDescent="0.25">
      <c r="A5" s="334" t="s">
        <v>218</v>
      </c>
      <c r="B5" s="334"/>
      <c r="C5" s="334"/>
      <c r="D5" s="334"/>
      <c r="E5" s="23"/>
      <c r="F5" s="23"/>
    </row>
    <row r="6" spans="1:11" x14ac:dyDescent="0.25">
      <c r="A6" s="333" t="s">
        <v>163</v>
      </c>
      <c r="B6" s="333"/>
      <c r="C6" s="333"/>
      <c r="D6" s="333"/>
      <c r="E6" s="45"/>
      <c r="F6" s="141"/>
      <c r="G6" s="141"/>
      <c r="H6" s="141"/>
      <c r="I6" s="141"/>
      <c r="J6" s="141"/>
      <c r="K6" s="141"/>
    </row>
    <row r="7" spans="1:11" x14ac:dyDescent="0.25">
      <c r="A7" s="155"/>
      <c r="B7" s="140" t="s">
        <v>129</v>
      </c>
      <c r="C7" s="156" t="s">
        <v>130</v>
      </c>
      <c r="D7" s="156" t="s">
        <v>131</v>
      </c>
      <c r="E7" s="141"/>
      <c r="F7" s="141"/>
      <c r="G7" s="141"/>
      <c r="H7" s="141"/>
      <c r="I7" s="141"/>
      <c r="J7" s="141"/>
      <c r="K7" s="141"/>
    </row>
    <row r="8" spans="1:11" x14ac:dyDescent="0.25">
      <c r="A8" s="298" t="s">
        <v>82</v>
      </c>
      <c r="B8" s="301">
        <v>91854996.719999999</v>
      </c>
      <c r="C8" s="301">
        <v>13725459.279999999</v>
      </c>
      <c r="D8" s="263">
        <f>+B8+C8</f>
        <v>105580456</v>
      </c>
      <c r="E8" s="141"/>
      <c r="F8" s="159"/>
      <c r="G8" s="159"/>
      <c r="H8" s="141"/>
      <c r="I8" s="141"/>
      <c r="J8" s="141"/>
      <c r="K8" s="141"/>
    </row>
    <row r="9" spans="1:11" x14ac:dyDescent="0.25">
      <c r="A9" s="298" t="s">
        <v>81</v>
      </c>
      <c r="B9" s="301">
        <v>94389117</v>
      </c>
      <c r="C9" s="301">
        <v>14104121</v>
      </c>
      <c r="D9" s="263">
        <f>+B9+C9</f>
        <v>108493238</v>
      </c>
      <c r="E9" s="141"/>
      <c r="F9" s="141"/>
      <c r="G9" s="141"/>
      <c r="H9" s="141"/>
      <c r="I9" s="141"/>
      <c r="J9" s="141"/>
      <c r="K9" s="141"/>
    </row>
    <row r="10" spans="1:11" x14ac:dyDescent="0.25">
      <c r="A10" s="298" t="s">
        <v>80</v>
      </c>
      <c r="B10" s="301">
        <v>93283838.829999998</v>
      </c>
      <c r="C10" s="301">
        <v>13938964.42</v>
      </c>
      <c r="D10" s="263">
        <f>+B10+C10</f>
        <v>107222803.25</v>
      </c>
      <c r="E10" s="141"/>
      <c r="F10" s="141"/>
      <c r="G10" s="141"/>
      <c r="H10" s="141"/>
      <c r="I10" s="141"/>
      <c r="J10" s="141"/>
      <c r="K10" s="141"/>
    </row>
    <row r="11" spans="1:11" x14ac:dyDescent="0.25">
      <c r="A11" s="29" t="s">
        <v>86</v>
      </c>
      <c r="B11" s="325">
        <f>SUM(B8:B10)</f>
        <v>279527952.55000001</v>
      </c>
      <c r="C11" s="325">
        <f>SUM(C8:C10)</f>
        <v>41768544.700000003</v>
      </c>
      <c r="D11" s="325">
        <f>SUM(D8:D10)</f>
        <v>321296497.25</v>
      </c>
      <c r="E11" s="141"/>
      <c r="F11" s="141"/>
      <c r="G11" s="141"/>
      <c r="H11" s="141"/>
      <c r="I11" s="141"/>
      <c r="J11" s="141"/>
      <c r="K11" s="141"/>
    </row>
    <row r="12" spans="1:11" hidden="1" x14ac:dyDescent="0.25">
      <c r="A12" s="57" t="s">
        <v>34</v>
      </c>
      <c r="B12" s="161"/>
      <c r="C12" s="161"/>
      <c r="D12" s="28">
        <f>+B12+C12</f>
        <v>0</v>
      </c>
      <c r="E12" s="141"/>
      <c r="F12" s="159"/>
      <c r="G12" s="159"/>
      <c r="H12" s="141"/>
      <c r="I12" s="141"/>
      <c r="J12" s="141"/>
      <c r="K12" s="141"/>
    </row>
    <row r="13" spans="1:11" hidden="1" x14ac:dyDescent="0.25">
      <c r="A13" s="57" t="s">
        <v>35</v>
      </c>
      <c r="B13" s="161"/>
      <c r="C13" s="161"/>
      <c r="D13" s="28">
        <f>+B13+C13</f>
        <v>0</v>
      </c>
      <c r="E13" s="141"/>
      <c r="F13" s="141"/>
      <c r="G13" s="141"/>
      <c r="H13" s="141"/>
      <c r="I13" s="141"/>
      <c r="J13" s="141"/>
      <c r="K13" s="141"/>
    </row>
    <row r="14" spans="1:11" hidden="1" x14ac:dyDescent="0.25">
      <c r="A14" s="57" t="s">
        <v>36</v>
      </c>
      <c r="B14" s="161"/>
      <c r="C14" s="160"/>
      <c r="D14" s="28">
        <f>+B14+C14</f>
        <v>0</v>
      </c>
      <c r="E14" s="141"/>
      <c r="F14" s="141"/>
      <c r="G14" s="141"/>
      <c r="H14" s="141"/>
      <c r="I14" s="141"/>
      <c r="J14" s="141"/>
      <c r="K14" s="141"/>
    </row>
    <row r="15" spans="1:11" hidden="1" x14ac:dyDescent="0.25">
      <c r="A15" s="29" t="s">
        <v>122</v>
      </c>
      <c r="B15" s="8">
        <f>SUM(B12:B14)</f>
        <v>0</v>
      </c>
      <c r="C15" s="8">
        <f>SUM(C12:C14)</f>
        <v>0</v>
      </c>
      <c r="D15" s="8">
        <f>SUM(D12:D14)</f>
        <v>0</v>
      </c>
      <c r="E15" s="141"/>
      <c r="F15" s="141"/>
      <c r="G15" s="141"/>
      <c r="H15" s="141"/>
      <c r="I15" s="141"/>
      <c r="J15" s="141"/>
      <c r="K15" s="141"/>
    </row>
    <row r="16" spans="1:11" hidden="1" x14ac:dyDescent="0.25">
      <c r="A16" s="57" t="s">
        <v>80</v>
      </c>
      <c r="B16" s="161"/>
      <c r="C16" s="161"/>
      <c r="D16" s="28">
        <f>+B16+C16</f>
        <v>0</v>
      </c>
      <c r="E16" s="141"/>
      <c r="F16" s="159"/>
      <c r="G16" s="159"/>
      <c r="H16" s="141"/>
      <c r="I16" s="141"/>
      <c r="J16" s="141"/>
      <c r="K16" s="141"/>
    </row>
    <row r="17" spans="1:11" hidden="1" x14ac:dyDescent="0.25">
      <c r="A17" s="57" t="s">
        <v>81</v>
      </c>
      <c r="B17" s="161"/>
      <c r="C17" s="161"/>
      <c r="D17" s="28">
        <f>+B17+C17</f>
        <v>0</v>
      </c>
      <c r="E17" s="141"/>
      <c r="F17" s="141"/>
      <c r="G17" s="141"/>
      <c r="H17" s="141"/>
      <c r="I17" s="141"/>
      <c r="J17" s="141"/>
      <c r="K17" s="141"/>
    </row>
    <row r="18" spans="1:11" hidden="1" x14ac:dyDescent="0.25">
      <c r="A18" s="57" t="s">
        <v>82</v>
      </c>
      <c r="B18" s="161"/>
      <c r="C18" s="160"/>
      <c r="D18" s="28">
        <f>+B18+C18</f>
        <v>0</v>
      </c>
      <c r="E18" s="141"/>
      <c r="F18" s="141"/>
      <c r="G18" s="141"/>
      <c r="H18" s="141"/>
      <c r="I18" s="141"/>
      <c r="J18" s="141"/>
      <c r="K18" s="141"/>
    </row>
    <row r="19" spans="1:11" hidden="1" x14ac:dyDescent="0.25">
      <c r="A19" s="29" t="s">
        <v>86</v>
      </c>
      <c r="B19" s="8">
        <f>SUM(B16:B18)</f>
        <v>0</v>
      </c>
      <c r="C19" s="8">
        <f>SUM(C16:C18)</f>
        <v>0</v>
      </c>
      <c r="D19" s="8">
        <f>SUM(D16:D18)</f>
        <v>0</v>
      </c>
      <c r="E19" s="141"/>
      <c r="F19" s="141"/>
      <c r="G19" s="141"/>
      <c r="H19" s="141"/>
      <c r="I19" s="141"/>
      <c r="J19" s="141"/>
      <c r="K19" s="141"/>
    </row>
    <row r="20" spans="1:11" hidden="1" x14ac:dyDescent="0.25">
      <c r="A20" s="57" t="s">
        <v>83</v>
      </c>
      <c r="B20" s="161"/>
      <c r="C20" s="161"/>
      <c r="D20" s="28">
        <f>+B20+C20</f>
        <v>0</v>
      </c>
      <c r="E20" s="141"/>
      <c r="F20" s="159"/>
      <c r="G20" s="159"/>
      <c r="H20" s="141"/>
      <c r="I20" s="141"/>
      <c r="J20" s="141"/>
      <c r="K20" s="141"/>
    </row>
    <row r="21" spans="1:11" hidden="1" x14ac:dyDescent="0.25">
      <c r="A21" s="57" t="s">
        <v>84</v>
      </c>
      <c r="B21" s="161"/>
      <c r="C21" s="161"/>
      <c r="D21" s="28">
        <f>+B21+C21</f>
        <v>0</v>
      </c>
      <c r="E21" s="141"/>
      <c r="F21" s="141"/>
      <c r="G21" s="141"/>
      <c r="H21" s="141"/>
      <c r="I21" s="141"/>
      <c r="J21" s="141"/>
      <c r="K21" s="141"/>
    </row>
    <row r="22" spans="1:11" hidden="1" x14ac:dyDescent="0.25">
      <c r="A22" s="57" t="s">
        <v>85</v>
      </c>
      <c r="B22" s="161"/>
      <c r="C22" s="160"/>
      <c r="D22" s="28">
        <f>+B22+C22</f>
        <v>0</v>
      </c>
      <c r="E22" s="141"/>
      <c r="F22" s="141"/>
      <c r="G22" s="141"/>
      <c r="H22" s="141"/>
      <c r="I22" s="141"/>
      <c r="J22" s="141"/>
      <c r="K22" s="141"/>
    </row>
    <row r="23" spans="1:11" hidden="1" x14ac:dyDescent="0.25">
      <c r="A23" s="29" t="s">
        <v>87</v>
      </c>
      <c r="B23" s="8">
        <f>SUM(B20:B22)</f>
        <v>0</v>
      </c>
      <c r="C23" s="8">
        <f>SUM(C20:C22)</f>
        <v>0</v>
      </c>
      <c r="D23" s="8">
        <f>SUM(D20:D22)</f>
        <v>0</v>
      </c>
      <c r="E23" s="141"/>
      <c r="F23" s="141"/>
      <c r="G23" s="141"/>
      <c r="H23" s="141"/>
      <c r="I23" s="141"/>
      <c r="J23" s="141"/>
      <c r="K23" s="141"/>
    </row>
    <row r="24" spans="1:11" hidden="1" x14ac:dyDescent="0.25">
      <c r="A24" s="30" t="s">
        <v>9</v>
      </c>
      <c r="B24" s="25">
        <f>+B11+B15+B19+B23</f>
        <v>279527952.55000001</v>
      </c>
      <c r="C24" s="25">
        <f>+C11+C15+C19+C23</f>
        <v>41768544.700000003</v>
      </c>
      <c r="D24" s="25">
        <f>+D11+D15+D19+D23</f>
        <v>321296497.25</v>
      </c>
      <c r="E24" s="141"/>
      <c r="F24" s="141"/>
      <c r="G24" s="141"/>
      <c r="H24" s="141"/>
      <c r="I24" s="141"/>
      <c r="J24" s="141"/>
      <c r="K24" s="141"/>
    </row>
    <row r="25" spans="1:11" x14ac:dyDescent="0.25">
      <c r="A25" s="162" t="s">
        <v>39</v>
      </c>
      <c r="B25" s="26">
        <f>B11/D11</f>
        <v>0.8699999998210376</v>
      </c>
      <c r="C25" s="26">
        <f>C11/D11</f>
        <v>0.13000000017896243</v>
      </c>
      <c r="D25" s="27"/>
      <c r="E25" s="141"/>
      <c r="F25" s="141"/>
      <c r="G25" s="141"/>
      <c r="H25" s="141"/>
      <c r="I25" s="141"/>
      <c r="J25" s="141"/>
      <c r="K25" s="141"/>
    </row>
    <row r="26" spans="1:11" x14ac:dyDescent="0.25">
      <c r="A26" s="284" t="s">
        <v>263</v>
      </c>
      <c r="B26" s="284"/>
      <c r="C26" s="284"/>
      <c r="D26" s="284"/>
      <c r="E26" s="284"/>
      <c r="F26" s="284"/>
      <c r="G26" s="141"/>
      <c r="H26" s="141"/>
      <c r="I26" s="141"/>
      <c r="J26" s="141"/>
      <c r="K26" s="141"/>
    </row>
    <row r="27" spans="1:11" x14ac:dyDescent="0.25">
      <c r="A27" s="275"/>
      <c r="B27" s="269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x14ac:dyDescent="0.25">
      <c r="A34" s="141"/>
      <c r="B34" s="141"/>
      <c r="C34" s="141"/>
      <c r="D34" s="141"/>
      <c r="E34" s="141"/>
      <c r="F34" s="141"/>
      <c r="G34" s="163"/>
      <c r="H34" s="163"/>
      <c r="I34" s="163"/>
      <c r="J34" s="163"/>
      <c r="K34" s="150"/>
    </row>
    <row r="35" spans="1:1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x14ac:dyDescent="0.25">
      <c r="A41" s="57"/>
      <c r="B41" s="158"/>
      <c r="C41" s="160"/>
      <c r="D41" s="28"/>
    </row>
    <row r="42" spans="1:11" x14ac:dyDescent="0.25">
      <c r="A42" s="57"/>
      <c r="B42" s="158"/>
      <c r="C42" s="158"/>
      <c r="D42" s="28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4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J43"/>
  <sheetViews>
    <sheetView showGridLines="0" tabSelected="1" zoomScale="130" zoomScaleNormal="130" zoomScaleSheetLayoutView="115" workbookViewId="0">
      <selection activeCell="C12" sqref="C12"/>
    </sheetView>
  </sheetViews>
  <sheetFormatPr baseColWidth="10" defaultColWidth="11.42578125" defaultRowHeight="15" x14ac:dyDescent="0.25"/>
  <cols>
    <col min="1" max="1" width="21.42578125" style="1" customWidth="1"/>
    <col min="2" max="2" width="15.71093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7" x14ac:dyDescent="0.25">
      <c r="A1" s="332" t="s">
        <v>0</v>
      </c>
      <c r="B1" s="332"/>
      <c r="C1" s="332"/>
      <c r="D1" s="332"/>
    </row>
    <row r="2" spans="1:7" x14ac:dyDescent="0.25">
      <c r="A2" s="332" t="s">
        <v>114</v>
      </c>
      <c r="B2" s="332"/>
      <c r="C2" s="332"/>
      <c r="D2" s="332"/>
    </row>
    <row r="3" spans="1:7" x14ac:dyDescent="0.25">
      <c r="A3" s="332" t="s">
        <v>10</v>
      </c>
      <c r="B3" s="332"/>
      <c r="C3" s="332"/>
      <c r="D3" s="332"/>
    </row>
    <row r="4" spans="1:7" x14ac:dyDescent="0.25">
      <c r="A4" s="332" t="s">
        <v>239</v>
      </c>
      <c r="B4" s="332"/>
      <c r="C4" s="332"/>
      <c r="D4" s="332"/>
    </row>
    <row r="5" spans="1:7" x14ac:dyDescent="0.25">
      <c r="A5" s="334" t="s">
        <v>218</v>
      </c>
      <c r="B5" s="334"/>
      <c r="C5" s="334"/>
      <c r="D5" s="334"/>
    </row>
    <row r="6" spans="1:7" x14ac:dyDescent="0.25">
      <c r="A6" s="333" t="s">
        <v>10</v>
      </c>
      <c r="B6" s="333"/>
      <c r="C6" s="333"/>
      <c r="D6" s="333"/>
      <c r="E6" s="141"/>
      <c r="F6" s="141"/>
      <c r="G6" s="141"/>
    </row>
    <row r="7" spans="1:7" x14ac:dyDescent="0.25">
      <c r="A7" s="155"/>
      <c r="B7" s="156" t="s">
        <v>11</v>
      </c>
      <c r="C7" s="156" t="s">
        <v>133</v>
      </c>
      <c r="D7" s="156" t="s">
        <v>134</v>
      </c>
      <c r="E7" s="141"/>
      <c r="F7" s="141"/>
      <c r="G7" s="141"/>
    </row>
    <row r="8" spans="1:7" x14ac:dyDescent="0.25">
      <c r="A8" s="298" t="s">
        <v>82</v>
      </c>
      <c r="B8" s="220">
        <v>31800</v>
      </c>
      <c r="C8" s="157">
        <f>+B8-B9</f>
        <v>-871</v>
      </c>
      <c r="D8" s="219">
        <f>+(B8-B9)/B9</f>
        <v>-2.6659728811484189E-2</v>
      </c>
      <c r="E8" s="141"/>
      <c r="F8" s="141"/>
      <c r="G8" s="141"/>
    </row>
    <row r="9" spans="1:7" x14ac:dyDescent="0.25">
      <c r="A9" s="298" t="s">
        <v>81</v>
      </c>
      <c r="B9" s="220">
        <v>32671</v>
      </c>
      <c r="C9" s="157">
        <f>+B9-B10</f>
        <v>496</v>
      </c>
      <c r="D9" s="20">
        <f>+(B9-B10)/B10</f>
        <v>1.5415695415695416E-2</v>
      </c>
      <c r="E9" s="141"/>
      <c r="F9" s="141"/>
      <c r="G9" s="141"/>
    </row>
    <row r="10" spans="1:7" x14ac:dyDescent="0.25">
      <c r="A10" s="298" t="s">
        <v>80</v>
      </c>
      <c r="B10" s="220">
        <v>32175</v>
      </c>
      <c r="C10" s="157">
        <f>+B10-40443</f>
        <v>-8268</v>
      </c>
      <c r="D10" s="302">
        <f>+(B10-40443)/40443</f>
        <v>-0.20443587270973965</v>
      </c>
      <c r="E10" s="141"/>
      <c r="F10" s="141"/>
      <c r="G10" s="141"/>
    </row>
    <row r="11" spans="1:7" x14ac:dyDescent="0.25">
      <c r="A11" s="29" t="s">
        <v>86</v>
      </c>
      <c r="B11" s="85">
        <f>SUM(B8:B10)</f>
        <v>96646</v>
      </c>
      <c r="C11" s="8">
        <f>+B11-105536</f>
        <v>-8890</v>
      </c>
      <c r="D11" s="303">
        <f>(B11-105536)/105536</f>
        <v>-8.4236658580958163E-2</v>
      </c>
      <c r="E11" s="141"/>
      <c r="F11" s="151"/>
      <c r="G11" s="159"/>
    </row>
    <row r="12" spans="1:7" hidden="1" x14ac:dyDescent="0.25">
      <c r="A12" s="57" t="s">
        <v>34</v>
      </c>
      <c r="B12" s="164"/>
      <c r="C12" s="167">
        <f>+B12-B10</f>
        <v>-32175</v>
      </c>
      <c r="D12" s="141"/>
      <c r="E12" s="141"/>
      <c r="F12" s="141"/>
      <c r="G12" s="141"/>
    </row>
    <row r="13" spans="1:7" hidden="1" x14ac:dyDescent="0.25">
      <c r="A13" s="57" t="s">
        <v>35</v>
      </c>
      <c r="B13" s="164"/>
      <c r="C13" s="167">
        <f>+B13-B12</f>
        <v>0</v>
      </c>
      <c r="D13" s="141"/>
      <c r="E13" s="141"/>
      <c r="F13" s="141"/>
      <c r="G13" s="141"/>
    </row>
    <row r="14" spans="1:7" hidden="1" x14ac:dyDescent="0.25">
      <c r="A14" s="57" t="s">
        <v>36</v>
      </c>
      <c r="B14" s="164"/>
      <c r="C14" s="167">
        <f>+B14-B13</f>
        <v>0</v>
      </c>
      <c r="D14" s="141"/>
      <c r="E14" s="141"/>
      <c r="F14" s="141"/>
      <c r="G14" s="141"/>
    </row>
    <row r="15" spans="1:7" hidden="1" x14ac:dyDescent="0.25">
      <c r="A15" s="29" t="s">
        <v>122</v>
      </c>
      <c r="B15" s="8">
        <f>SUM(B12:B14)</f>
        <v>0</v>
      </c>
      <c r="C15" s="77">
        <f>+B15-B11</f>
        <v>-96646</v>
      </c>
      <c r="D15" s="16">
        <f>+(B15-B11)/B11</f>
        <v>-1</v>
      </c>
      <c r="E15" s="141"/>
      <c r="F15" s="151"/>
      <c r="G15" s="141"/>
    </row>
    <row r="16" spans="1:7" hidden="1" x14ac:dyDescent="0.25">
      <c r="A16" s="57" t="s">
        <v>80</v>
      </c>
      <c r="B16" s="164"/>
      <c r="C16" s="167">
        <f>+B16-B14</f>
        <v>0</v>
      </c>
      <c r="D16" s="141"/>
      <c r="E16" s="141"/>
      <c r="F16" s="141"/>
      <c r="G16" s="141"/>
    </row>
    <row r="17" spans="1:10" hidden="1" x14ac:dyDescent="0.25">
      <c r="A17" s="57" t="s">
        <v>81</v>
      </c>
      <c r="B17" s="164"/>
      <c r="C17" s="167">
        <f>+B17-B16</f>
        <v>0</v>
      </c>
      <c r="D17" s="141"/>
      <c r="E17" s="141"/>
      <c r="F17" s="141"/>
      <c r="G17" s="141"/>
    </row>
    <row r="18" spans="1:10" hidden="1" x14ac:dyDescent="0.25">
      <c r="A18" s="57" t="s">
        <v>82</v>
      </c>
      <c r="B18" s="164"/>
      <c r="C18" s="167">
        <f>+B18-B17</f>
        <v>0</v>
      </c>
      <c r="D18" s="141"/>
      <c r="E18" s="141"/>
      <c r="F18" s="141"/>
      <c r="G18" s="141"/>
    </row>
    <row r="19" spans="1:10" hidden="1" x14ac:dyDescent="0.25">
      <c r="A19" s="29" t="s">
        <v>86</v>
      </c>
      <c r="B19" s="8">
        <f>SUM(B16:B18)</f>
        <v>0</v>
      </c>
      <c r="C19" s="77">
        <f>+B19-B15</f>
        <v>0</v>
      </c>
      <c r="D19" s="77" t="e">
        <f>+(B19-B15)/B15</f>
        <v>#DIV/0!</v>
      </c>
      <c r="E19" s="141"/>
      <c r="F19" s="151"/>
      <c r="G19" s="141"/>
    </row>
    <row r="20" spans="1:10" hidden="1" x14ac:dyDescent="0.25">
      <c r="A20" s="57" t="s">
        <v>83</v>
      </c>
      <c r="B20" s="164"/>
      <c r="C20" s="167">
        <f>+B20-B18</f>
        <v>0</v>
      </c>
      <c r="D20" s="141"/>
      <c r="E20" s="141"/>
      <c r="F20" s="141"/>
      <c r="G20" s="141"/>
    </row>
    <row r="21" spans="1:10" hidden="1" x14ac:dyDescent="0.25">
      <c r="A21" s="57" t="s">
        <v>84</v>
      </c>
      <c r="B21" s="164"/>
      <c r="C21" s="167">
        <f>+B21-B20</f>
        <v>0</v>
      </c>
      <c r="D21" s="141"/>
      <c r="E21" s="141"/>
      <c r="F21" s="141"/>
      <c r="G21" s="141"/>
    </row>
    <row r="22" spans="1:10" hidden="1" x14ac:dyDescent="0.25">
      <c r="A22" s="57" t="s">
        <v>85</v>
      </c>
      <c r="B22" s="164"/>
      <c r="C22" s="167">
        <f>+B22-B21</f>
        <v>0</v>
      </c>
      <c r="D22" s="141"/>
      <c r="E22" s="141"/>
      <c r="F22" s="141"/>
      <c r="G22" s="141"/>
    </row>
    <row r="23" spans="1:10" hidden="1" x14ac:dyDescent="0.25">
      <c r="A23" s="29" t="s">
        <v>87</v>
      </c>
      <c r="B23" s="8">
        <f>SUM(B20:B22)</f>
        <v>0</v>
      </c>
      <c r="C23" s="77">
        <f>+B23-B19</f>
        <v>0</v>
      </c>
      <c r="D23" s="77" t="e">
        <f>+(B23-B19)/B19</f>
        <v>#DIV/0!</v>
      </c>
      <c r="E23" s="141"/>
      <c r="F23" s="151"/>
      <c r="G23" s="141"/>
    </row>
    <row r="24" spans="1:10" hidden="1" x14ac:dyDescent="0.25">
      <c r="A24" s="30" t="s">
        <v>9</v>
      </c>
      <c r="B24" s="31">
        <f>+B11+B15+B19+B23</f>
        <v>96646</v>
      </c>
      <c r="C24" s="31"/>
      <c r="D24" s="31"/>
      <c r="E24" s="141"/>
      <c r="F24" s="141"/>
      <c r="G24" s="141"/>
    </row>
    <row r="25" spans="1:10" ht="25.5" customHeight="1" x14ac:dyDescent="0.25">
      <c r="A25" s="335" t="s">
        <v>248</v>
      </c>
      <c r="B25" s="335"/>
      <c r="C25" s="335"/>
      <c r="D25" s="335"/>
      <c r="E25" s="141"/>
      <c r="F25" s="151"/>
      <c r="G25" s="141"/>
      <c r="I25" s="220"/>
      <c r="J25" s="14"/>
    </row>
    <row r="26" spans="1:10" ht="13.5" customHeight="1" x14ac:dyDescent="0.25">
      <c r="A26" s="284" t="s">
        <v>263</v>
      </c>
      <c r="B26" s="284"/>
      <c r="C26" s="284"/>
      <c r="D26" s="284"/>
      <c r="E26" s="284"/>
      <c r="F26" s="284"/>
      <c r="G26" s="141"/>
    </row>
    <row r="27" spans="1:10" ht="12.75" customHeight="1" x14ac:dyDescent="0.25">
      <c r="A27" s="271"/>
      <c r="B27" s="141"/>
      <c r="C27" s="141"/>
      <c r="D27" s="141"/>
      <c r="E27" s="141"/>
      <c r="F27" s="141"/>
      <c r="G27" s="141"/>
    </row>
    <row r="28" spans="1:10" x14ac:dyDescent="0.25">
      <c r="A28" s="141"/>
      <c r="B28" s="141"/>
      <c r="C28" s="141"/>
      <c r="D28" s="141"/>
      <c r="E28" s="141"/>
      <c r="F28" s="141"/>
      <c r="G28" s="141"/>
    </row>
    <row r="29" spans="1:10" x14ac:dyDescent="0.25">
      <c r="A29" s="141"/>
      <c r="B29" s="141"/>
      <c r="C29" s="141"/>
      <c r="D29" s="141"/>
      <c r="E29" s="141"/>
      <c r="F29" s="141"/>
      <c r="G29" s="141"/>
    </row>
    <row r="30" spans="1:10" x14ac:dyDescent="0.25">
      <c r="A30" s="141"/>
      <c r="B30" s="141"/>
      <c r="C30" s="141"/>
      <c r="D30" s="141"/>
      <c r="E30" s="141"/>
      <c r="F30" s="141"/>
      <c r="G30" s="141"/>
      <c r="J30" s="35"/>
    </row>
    <row r="31" spans="1:10" x14ac:dyDescent="0.25">
      <c r="A31" s="141"/>
      <c r="B31" s="141"/>
      <c r="C31" s="141"/>
      <c r="D31" s="141"/>
      <c r="E31" s="141"/>
      <c r="F31" s="141"/>
      <c r="G31" s="141"/>
    </row>
    <row r="32" spans="1:10" x14ac:dyDescent="0.25">
      <c r="A32" s="141"/>
      <c r="B32" s="141"/>
      <c r="C32" s="141"/>
      <c r="D32" s="141"/>
      <c r="E32" s="141"/>
      <c r="F32" s="141"/>
      <c r="G32" s="141"/>
    </row>
    <row r="33" spans="1:7" x14ac:dyDescent="0.25">
      <c r="A33" s="141"/>
      <c r="B33" s="141"/>
      <c r="C33" s="141"/>
      <c r="D33" s="141"/>
      <c r="E33" s="141"/>
      <c r="F33" s="141"/>
      <c r="G33" s="141"/>
    </row>
    <row r="34" spans="1:7" x14ac:dyDescent="0.25">
      <c r="A34" s="141"/>
      <c r="B34" s="141"/>
      <c r="C34" s="141"/>
      <c r="D34" s="141"/>
      <c r="E34" s="141"/>
      <c r="F34" s="141"/>
      <c r="G34" s="141"/>
    </row>
    <row r="35" spans="1:7" x14ac:dyDescent="0.25">
      <c r="A35" s="141"/>
      <c r="B35" s="141"/>
      <c r="C35" s="141"/>
      <c r="D35" s="141"/>
      <c r="E35" s="141"/>
      <c r="F35" s="141"/>
      <c r="G35" s="141"/>
    </row>
    <row r="36" spans="1:7" x14ac:dyDescent="0.25">
      <c r="A36" s="141"/>
      <c r="B36" s="141"/>
      <c r="C36" s="141"/>
      <c r="D36" s="141"/>
      <c r="E36" s="141"/>
      <c r="F36" s="141"/>
      <c r="G36" s="141"/>
    </row>
    <row r="37" spans="1:7" x14ac:dyDescent="0.25">
      <c r="A37" s="141"/>
      <c r="B37" s="141"/>
      <c r="C37" s="141"/>
      <c r="D37" s="141"/>
      <c r="E37" s="141"/>
      <c r="F37" s="141"/>
      <c r="G37" s="141"/>
    </row>
    <row r="38" spans="1:7" x14ac:dyDescent="0.25">
      <c r="A38" s="141"/>
      <c r="B38" s="141"/>
      <c r="C38" s="141"/>
      <c r="D38" s="141"/>
      <c r="E38" s="141"/>
      <c r="F38" s="141"/>
      <c r="G38" s="141"/>
    </row>
    <row r="39" spans="1:7" x14ac:dyDescent="0.25">
      <c r="A39" s="141"/>
      <c r="B39" s="141"/>
      <c r="C39" s="141"/>
      <c r="D39" s="141"/>
      <c r="E39" s="141"/>
      <c r="F39" s="141"/>
      <c r="G39" s="141"/>
    </row>
    <row r="40" spans="1:7" x14ac:dyDescent="0.25">
      <c r="A40" s="141"/>
      <c r="B40" s="141"/>
      <c r="C40" s="141"/>
      <c r="D40" s="141"/>
      <c r="E40" s="141"/>
      <c r="F40" s="141"/>
      <c r="G40" s="141"/>
    </row>
    <row r="42" spans="1:7" x14ac:dyDescent="0.25">
      <c r="A42" s="57"/>
      <c r="B42" s="165"/>
      <c r="C42" s="157"/>
      <c r="D42" s="166"/>
    </row>
    <row r="43" spans="1:7" x14ac:dyDescent="0.25">
      <c r="A43" s="57"/>
      <c r="B43" s="164"/>
      <c r="C43" s="157"/>
      <c r="D43" s="20"/>
    </row>
  </sheetData>
  <mergeCells count="7">
    <mergeCell ref="A25:D25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showGridLines="0" tabSelected="1" zoomScale="145" zoomScaleNormal="145" zoomScaleSheetLayoutView="130" workbookViewId="0">
      <selection activeCell="C12" sqref="C12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4" width="20.42578125" style="1" customWidth="1"/>
    <col min="5" max="16384" width="11.42578125" style="1"/>
  </cols>
  <sheetData>
    <row r="1" spans="1:7" x14ac:dyDescent="0.25">
      <c r="A1" s="336" t="s">
        <v>0</v>
      </c>
      <c r="B1" s="336"/>
      <c r="C1" s="336"/>
      <c r="D1" s="278"/>
      <c r="E1" s="22"/>
      <c r="F1" s="22"/>
      <c r="G1" s="22"/>
    </row>
    <row r="2" spans="1:7" x14ac:dyDescent="0.25">
      <c r="A2" s="332" t="s">
        <v>114</v>
      </c>
      <c r="B2" s="332"/>
      <c r="C2" s="332"/>
      <c r="D2" s="276"/>
      <c r="E2" s="22"/>
      <c r="F2" s="22"/>
      <c r="G2" s="22"/>
    </row>
    <row r="3" spans="1:7" x14ac:dyDescent="0.25">
      <c r="A3" s="332" t="s">
        <v>170</v>
      </c>
      <c r="B3" s="332"/>
      <c r="C3" s="332"/>
      <c r="D3" s="276"/>
      <c r="E3" s="22"/>
      <c r="F3" s="22"/>
      <c r="G3" s="22"/>
    </row>
    <row r="4" spans="1:7" x14ac:dyDescent="0.25">
      <c r="A4" s="336" t="s">
        <v>242</v>
      </c>
      <c r="B4" s="336"/>
      <c r="C4" s="336"/>
      <c r="D4" s="278"/>
      <c r="E4" s="21"/>
      <c r="F4" s="22"/>
      <c r="G4" s="22"/>
    </row>
    <row r="5" spans="1:7" x14ac:dyDescent="0.25">
      <c r="A5" s="334" t="s">
        <v>218</v>
      </c>
      <c r="B5" s="334"/>
      <c r="C5" s="334"/>
      <c r="D5" s="277"/>
      <c r="E5" s="23"/>
      <c r="F5" s="23"/>
      <c r="G5" s="23"/>
    </row>
    <row r="6" spans="1:7" ht="15" customHeight="1" x14ac:dyDescent="0.25">
      <c r="A6" s="333" t="s">
        <v>170</v>
      </c>
      <c r="B6" s="333"/>
      <c r="C6" s="333"/>
      <c r="D6" s="333"/>
      <c r="E6" s="45"/>
      <c r="F6" s="45"/>
      <c r="G6" s="24"/>
    </row>
    <row r="7" spans="1:7" x14ac:dyDescent="0.25">
      <c r="A7" s="155" t="s">
        <v>1</v>
      </c>
      <c r="B7" s="140" t="s">
        <v>171</v>
      </c>
      <c r="C7" s="140" t="s">
        <v>172</v>
      </c>
      <c r="D7" s="290" t="s">
        <v>232</v>
      </c>
      <c r="E7" s="141"/>
      <c r="F7" s="141"/>
    </row>
    <row r="8" spans="1:7" x14ac:dyDescent="0.25">
      <c r="A8" s="298" t="s">
        <v>82</v>
      </c>
      <c r="B8" s="168">
        <v>72</v>
      </c>
      <c r="C8" s="168">
        <v>4</v>
      </c>
      <c r="D8" s="316">
        <v>51083663.75</v>
      </c>
      <c r="E8" s="141"/>
      <c r="F8" s="141"/>
    </row>
    <row r="9" spans="1:7" x14ac:dyDescent="0.25">
      <c r="A9" s="298" t="s">
        <v>81</v>
      </c>
      <c r="B9" s="168">
        <v>91</v>
      </c>
      <c r="C9" s="168">
        <v>6</v>
      </c>
      <c r="D9" s="316">
        <v>61902098.68</v>
      </c>
      <c r="E9" s="141"/>
      <c r="F9" s="141"/>
      <c r="G9" s="57"/>
    </row>
    <row r="10" spans="1:7" x14ac:dyDescent="0.25">
      <c r="A10" s="298" t="s">
        <v>80</v>
      </c>
      <c r="B10" s="168">
        <v>216</v>
      </c>
      <c r="C10" s="168">
        <v>21</v>
      </c>
      <c r="D10" s="316">
        <v>172850662.19</v>
      </c>
      <c r="E10" s="141"/>
      <c r="F10" s="141"/>
      <c r="G10" s="57"/>
    </row>
    <row r="11" spans="1:7" x14ac:dyDescent="0.25">
      <c r="A11" s="29" t="s">
        <v>86</v>
      </c>
      <c r="B11" s="8">
        <f>SUM(B8:B10)</f>
        <v>379</v>
      </c>
      <c r="C11" s="85">
        <f>SUM(C8:C10)</f>
        <v>31</v>
      </c>
      <c r="D11" s="73">
        <f>SUM(D8:D10)</f>
        <v>285836424.62</v>
      </c>
      <c r="E11" s="141"/>
      <c r="F11" s="141"/>
      <c r="G11" s="57"/>
    </row>
    <row r="12" spans="1:7" hidden="1" x14ac:dyDescent="0.25">
      <c r="A12" s="57" t="s">
        <v>34</v>
      </c>
      <c r="B12" s="168"/>
      <c r="C12" s="168"/>
      <c r="D12" s="168"/>
      <c r="E12" s="141"/>
      <c r="F12" s="141"/>
    </row>
    <row r="13" spans="1:7" hidden="1" x14ac:dyDescent="0.25">
      <c r="A13" s="57" t="s">
        <v>35</v>
      </c>
      <c r="B13" s="168"/>
      <c r="C13" s="168"/>
      <c r="D13" s="168"/>
      <c r="E13" s="141"/>
      <c r="F13" s="141"/>
    </row>
    <row r="14" spans="1:7" hidden="1" x14ac:dyDescent="0.25">
      <c r="A14" s="57" t="s">
        <v>36</v>
      </c>
      <c r="B14" s="168"/>
      <c r="C14" s="168"/>
      <c r="D14" s="168"/>
      <c r="E14" s="141"/>
      <c r="F14" s="141"/>
    </row>
    <row r="15" spans="1:7" hidden="1" x14ac:dyDescent="0.25">
      <c r="A15" s="29" t="s">
        <v>127</v>
      </c>
      <c r="B15" s="8">
        <f>SUM(B12:B14)</f>
        <v>0</v>
      </c>
      <c r="C15" s="8">
        <f>SUM(C12:C14)</f>
        <v>0</v>
      </c>
      <c r="D15" s="8"/>
      <c r="E15" s="141"/>
      <c r="F15" s="141"/>
    </row>
    <row r="16" spans="1:7" hidden="1" x14ac:dyDescent="0.25">
      <c r="A16" s="57" t="s">
        <v>80</v>
      </c>
      <c r="B16" s="168"/>
      <c r="C16" s="168"/>
      <c r="D16" s="168"/>
      <c r="E16" s="141"/>
      <c r="F16" s="141"/>
    </row>
    <row r="17" spans="1:6" hidden="1" x14ac:dyDescent="0.25">
      <c r="A17" s="57" t="s">
        <v>81</v>
      </c>
      <c r="B17" s="168"/>
      <c r="C17" s="168"/>
      <c r="D17" s="168"/>
      <c r="E17" s="141"/>
      <c r="F17" s="141"/>
    </row>
    <row r="18" spans="1:6" hidden="1" x14ac:dyDescent="0.25">
      <c r="A18" s="57" t="s">
        <v>82</v>
      </c>
      <c r="B18" s="168"/>
      <c r="C18" s="168"/>
      <c r="D18" s="168"/>
      <c r="E18" s="141"/>
      <c r="F18" s="141"/>
    </row>
    <row r="19" spans="1:6" hidden="1" x14ac:dyDescent="0.25">
      <c r="A19" s="29" t="s">
        <v>128</v>
      </c>
      <c r="B19" s="8">
        <f>SUM(B16:B18)</f>
        <v>0</v>
      </c>
      <c r="C19" s="8">
        <f>SUM(C16:C18)</f>
        <v>0</v>
      </c>
      <c r="D19" s="8"/>
      <c r="E19" s="141"/>
      <c r="F19" s="141"/>
    </row>
    <row r="20" spans="1:6" hidden="1" x14ac:dyDescent="0.25">
      <c r="A20" s="57" t="s">
        <v>83</v>
      </c>
      <c r="B20" s="168"/>
      <c r="C20" s="168"/>
      <c r="D20" s="168"/>
      <c r="E20" s="141"/>
      <c r="F20" s="141"/>
    </row>
    <row r="21" spans="1:6" hidden="1" x14ac:dyDescent="0.25">
      <c r="A21" s="57" t="s">
        <v>84</v>
      </c>
      <c r="B21" s="168"/>
      <c r="C21" s="168"/>
      <c r="D21" s="168"/>
      <c r="E21" s="141"/>
      <c r="F21" s="141"/>
    </row>
    <row r="22" spans="1:6" hidden="1" x14ac:dyDescent="0.25">
      <c r="A22" s="57" t="s">
        <v>85</v>
      </c>
      <c r="B22" s="168"/>
      <c r="C22" s="168"/>
      <c r="D22" s="168"/>
      <c r="E22" s="141"/>
      <c r="F22" s="141"/>
    </row>
    <row r="23" spans="1:6" hidden="1" x14ac:dyDescent="0.25">
      <c r="A23" s="29" t="s">
        <v>118</v>
      </c>
      <c r="B23" s="8">
        <f>SUM(B20:B22)</f>
        <v>0</v>
      </c>
      <c r="C23" s="8">
        <f>SUM(C20:C22)</f>
        <v>0</v>
      </c>
      <c r="D23" s="8"/>
      <c r="E23" s="141"/>
      <c r="F23" s="141"/>
    </row>
    <row r="24" spans="1:6" hidden="1" x14ac:dyDescent="0.25">
      <c r="A24" s="30" t="s">
        <v>9</v>
      </c>
      <c r="B24" s="32"/>
      <c r="C24" s="32"/>
      <c r="D24" s="32"/>
      <c r="E24" s="141"/>
      <c r="F24" s="141"/>
    </row>
    <row r="25" spans="1:6" x14ac:dyDescent="0.25">
      <c r="A25" s="284" t="s">
        <v>263</v>
      </c>
      <c r="B25" s="284"/>
      <c r="C25" s="284"/>
      <c r="D25" s="284"/>
      <c r="E25" s="284"/>
      <c r="F25" s="284"/>
    </row>
    <row r="26" spans="1:6" x14ac:dyDescent="0.25">
      <c r="A26" s="275"/>
      <c r="B26" s="141"/>
      <c r="C26" s="141"/>
      <c r="D26" s="141"/>
      <c r="E26" s="141"/>
      <c r="F26" s="141"/>
    </row>
    <row r="27" spans="1:6" x14ac:dyDescent="0.25">
      <c r="A27" s="141"/>
      <c r="B27" s="141"/>
      <c r="C27" s="141"/>
      <c r="D27" s="141"/>
      <c r="E27" s="141"/>
      <c r="F27" s="141"/>
    </row>
    <row r="28" spans="1:6" x14ac:dyDescent="0.25">
      <c r="A28" s="141"/>
      <c r="B28" s="141"/>
      <c r="C28" s="141"/>
      <c r="D28" s="141"/>
      <c r="E28" s="141"/>
      <c r="F28" s="141"/>
    </row>
    <row r="29" spans="1:6" x14ac:dyDescent="0.25">
      <c r="A29" s="141"/>
      <c r="B29" s="141"/>
      <c r="C29" s="141"/>
      <c r="D29" s="141"/>
      <c r="E29" s="141"/>
      <c r="F29" s="141"/>
    </row>
    <row r="30" spans="1:6" x14ac:dyDescent="0.25">
      <c r="A30" s="141"/>
      <c r="B30" s="141"/>
      <c r="C30" s="141"/>
      <c r="D30" s="141"/>
      <c r="E30" s="141"/>
      <c r="F30" s="141"/>
    </row>
    <row r="31" spans="1:6" x14ac:dyDescent="0.25">
      <c r="A31" s="141"/>
      <c r="B31" s="141"/>
      <c r="C31" s="141"/>
      <c r="D31" s="141"/>
      <c r="E31" s="141"/>
      <c r="F31" s="141"/>
    </row>
    <row r="32" spans="1:6" x14ac:dyDescent="0.25">
      <c r="A32" s="141"/>
      <c r="B32" s="141"/>
      <c r="C32" s="141"/>
      <c r="D32" s="141"/>
      <c r="E32" s="141"/>
      <c r="F32" s="141"/>
    </row>
    <row r="33" spans="1:6" x14ac:dyDescent="0.25">
      <c r="A33" s="141"/>
      <c r="B33" s="141"/>
      <c r="C33" s="141"/>
      <c r="D33" s="141"/>
      <c r="E33" s="57"/>
      <c r="F33" s="290"/>
    </row>
    <row r="34" spans="1:6" x14ac:dyDescent="0.25">
      <c r="A34" s="141"/>
      <c r="B34" s="141"/>
      <c r="C34" s="141"/>
      <c r="D34" s="141"/>
      <c r="E34" s="57"/>
      <c r="F34" s="291"/>
    </row>
    <row r="35" spans="1:6" x14ac:dyDescent="0.25">
      <c r="A35" s="141"/>
      <c r="B35" s="141"/>
      <c r="C35" s="141"/>
      <c r="D35" s="141"/>
      <c r="E35" s="57"/>
      <c r="F35" s="291"/>
    </row>
    <row r="36" spans="1:6" x14ac:dyDescent="0.25">
      <c r="A36" s="141"/>
      <c r="B36" s="141"/>
      <c r="C36" s="141"/>
      <c r="D36" s="141"/>
      <c r="E36" s="141"/>
      <c r="F36" s="291"/>
    </row>
    <row r="37" spans="1:6" x14ac:dyDescent="0.25">
      <c r="A37" s="141"/>
      <c r="B37" s="141"/>
      <c r="C37" s="141"/>
      <c r="D37" s="141"/>
      <c r="E37" s="141"/>
      <c r="F37" s="141"/>
    </row>
    <row r="38" spans="1:6" x14ac:dyDescent="0.25">
      <c r="A38" s="141"/>
      <c r="B38" s="141"/>
      <c r="C38" s="141"/>
      <c r="D38" s="141"/>
      <c r="E38" s="141"/>
      <c r="F38" s="141"/>
    </row>
    <row r="39" spans="1:6" x14ac:dyDescent="0.25">
      <c r="A39" s="141"/>
      <c r="B39" s="141"/>
      <c r="C39" s="141"/>
      <c r="D39" s="141"/>
      <c r="E39" s="141"/>
      <c r="F39" s="141"/>
    </row>
    <row r="40" spans="1:6" x14ac:dyDescent="0.25">
      <c r="A40" s="141"/>
      <c r="B40" s="141"/>
      <c r="C40" s="141"/>
      <c r="D40" s="141"/>
      <c r="E40" s="141"/>
      <c r="F40" s="141"/>
    </row>
    <row r="43" spans="1:6" x14ac:dyDescent="0.25">
      <c r="A43" s="57"/>
      <c r="B43" s="168"/>
      <c r="C43" s="168"/>
      <c r="D43" s="168"/>
    </row>
    <row r="44" spans="1:6" x14ac:dyDescent="0.25">
      <c r="A44" s="57"/>
      <c r="B44" s="168"/>
      <c r="C44" s="168"/>
      <c r="D44" s="168"/>
    </row>
  </sheetData>
  <mergeCells count="6">
    <mergeCell ref="A6:D6"/>
    <mergeCell ref="A1:C1"/>
    <mergeCell ref="A3:C3"/>
    <mergeCell ref="A5:C5"/>
    <mergeCell ref="A2:C2"/>
    <mergeCell ref="A4:C4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M56"/>
  <sheetViews>
    <sheetView showGridLines="0" tabSelected="1" zoomScale="90" zoomScaleNormal="90" workbookViewId="0">
      <selection activeCell="C12" sqref="C12"/>
    </sheetView>
  </sheetViews>
  <sheetFormatPr baseColWidth="10" defaultColWidth="11.42578125" defaultRowHeight="15" x14ac:dyDescent="0.25"/>
  <cols>
    <col min="1" max="1" width="12" style="1" customWidth="1"/>
    <col min="2" max="4" width="18.140625" style="1" customWidth="1"/>
    <col min="5" max="5" width="15.28515625" style="1" customWidth="1"/>
    <col min="6" max="6" width="11.42578125" style="1"/>
    <col min="7" max="7" width="15.140625" style="1" bestFit="1" customWidth="1"/>
    <col min="8" max="8" width="15.5703125" style="1" customWidth="1"/>
    <col min="9" max="9" width="18.140625" style="1" customWidth="1"/>
    <col min="10" max="12" width="11.42578125" style="1"/>
    <col min="13" max="13" width="16.85546875" style="1" bestFit="1" customWidth="1"/>
    <col min="14" max="16384" width="11.42578125" style="1"/>
  </cols>
  <sheetData>
    <row r="1" spans="1:13" x14ac:dyDescent="0.25">
      <c r="A1" s="330" t="s">
        <v>0</v>
      </c>
      <c r="B1" s="330"/>
      <c r="C1" s="330"/>
      <c r="D1" s="330"/>
      <c r="E1" s="330"/>
      <c r="F1" s="330"/>
      <c r="G1" s="330"/>
      <c r="H1" s="330"/>
    </row>
    <row r="2" spans="1:13" x14ac:dyDescent="0.25">
      <c r="A2" s="330" t="s">
        <v>113</v>
      </c>
      <c r="B2" s="330"/>
      <c r="C2" s="330"/>
      <c r="D2" s="330"/>
      <c r="E2" s="330"/>
      <c r="F2" s="330"/>
      <c r="G2" s="330"/>
      <c r="H2" s="330"/>
    </row>
    <row r="3" spans="1:13" x14ac:dyDescent="0.25">
      <c r="A3" s="330" t="s">
        <v>148</v>
      </c>
      <c r="B3" s="330"/>
      <c r="C3" s="330"/>
      <c r="D3" s="330"/>
      <c r="E3" s="330"/>
      <c r="F3" s="330"/>
      <c r="G3" s="330"/>
      <c r="H3" s="330"/>
    </row>
    <row r="4" spans="1:13" x14ac:dyDescent="0.25">
      <c r="A4" s="330" t="s">
        <v>239</v>
      </c>
      <c r="B4" s="330"/>
      <c r="C4" s="330"/>
      <c r="D4" s="330"/>
      <c r="E4" s="330"/>
      <c r="F4" s="330"/>
      <c r="G4" s="330"/>
      <c r="H4" s="330"/>
    </row>
    <row r="5" spans="1:13" x14ac:dyDescent="0.25">
      <c r="A5" s="331" t="s">
        <v>218</v>
      </c>
      <c r="B5" s="331"/>
      <c r="C5" s="331"/>
      <c r="D5" s="331"/>
      <c r="E5" s="331"/>
      <c r="F5" s="331"/>
      <c r="G5" s="331"/>
      <c r="H5" s="331"/>
    </row>
    <row r="6" spans="1:13" x14ac:dyDescent="0.25">
      <c r="A6" s="169"/>
      <c r="B6" s="340" t="s">
        <v>212</v>
      </c>
      <c r="C6" s="340"/>
      <c r="D6" s="340"/>
      <c r="E6" s="340" t="s">
        <v>214</v>
      </c>
      <c r="F6" s="340"/>
      <c r="G6" s="340"/>
      <c r="H6" s="340"/>
    </row>
    <row r="7" spans="1:13" ht="15" customHeight="1" x14ac:dyDescent="0.25">
      <c r="A7" s="339" t="s">
        <v>1</v>
      </c>
      <c r="B7" s="333" t="s">
        <v>213</v>
      </c>
      <c r="C7" s="333" t="s">
        <v>210</v>
      </c>
      <c r="D7" s="333" t="s">
        <v>211</v>
      </c>
      <c r="E7" s="333" t="s">
        <v>215</v>
      </c>
      <c r="F7" s="333"/>
      <c r="G7" s="333" t="s">
        <v>31</v>
      </c>
      <c r="H7" s="333"/>
    </row>
    <row r="8" spans="1:13" x14ac:dyDescent="0.25">
      <c r="A8" s="339"/>
      <c r="B8" s="333"/>
      <c r="C8" s="333"/>
      <c r="D8" s="333"/>
      <c r="E8" s="333"/>
      <c r="F8" s="333"/>
      <c r="G8" s="333"/>
      <c r="H8" s="333"/>
    </row>
    <row r="9" spans="1:13" x14ac:dyDescent="0.25">
      <c r="A9" s="170"/>
      <c r="B9" s="140" t="s">
        <v>18</v>
      </c>
      <c r="C9" s="140" t="s">
        <v>18</v>
      </c>
      <c r="D9" s="140" t="s">
        <v>18</v>
      </c>
      <c r="E9" s="140" t="s">
        <v>32</v>
      </c>
      <c r="F9" s="140" t="s">
        <v>33</v>
      </c>
      <c r="G9" s="140" t="s">
        <v>32</v>
      </c>
      <c r="H9" s="140" t="s">
        <v>33</v>
      </c>
    </row>
    <row r="10" spans="1:13" hidden="1" x14ac:dyDescent="0.25">
      <c r="A10" s="221" t="s">
        <v>119</v>
      </c>
      <c r="B10" s="220">
        <v>2177248632.73</v>
      </c>
      <c r="C10" s="220">
        <v>274364.36</v>
      </c>
      <c r="D10" s="218">
        <f>+B10+C10</f>
        <v>2177522997.0900002</v>
      </c>
      <c r="E10" s="172">
        <v>2053096606.5</v>
      </c>
      <c r="F10" s="217">
        <f>(E10/D10)</f>
        <v>0.9428587478725684</v>
      </c>
      <c r="G10" s="76">
        <f>+D10-E10</f>
        <v>124426390.59000015</v>
      </c>
      <c r="H10" s="217">
        <f>(G10/D10)</f>
        <v>5.7141252127431576E-2</v>
      </c>
    </row>
    <row r="11" spans="1:13" x14ac:dyDescent="0.25">
      <c r="A11" s="95" t="s">
        <v>82</v>
      </c>
      <c r="B11" s="264">
        <v>2767788928.5799999</v>
      </c>
      <c r="C11" s="264">
        <v>2499375.4399999995</v>
      </c>
      <c r="D11" s="165">
        <v>2838019042.96</v>
      </c>
      <c r="E11" s="246">
        <v>2769137072.5799999</v>
      </c>
      <c r="F11" s="2">
        <f t="shared" ref="F11" si="0">(E11/D11)</f>
        <v>0.97572885546667876</v>
      </c>
      <c r="G11" s="76">
        <f>+D11-E11</f>
        <v>68881970.380000114</v>
      </c>
      <c r="H11" s="4">
        <f t="shared" ref="H11" si="1">(G11/D11)</f>
        <v>2.4271144533321215E-2</v>
      </c>
      <c r="I11" s="14"/>
    </row>
    <row r="12" spans="1:13" x14ac:dyDescent="0.25">
      <c r="A12" s="95" t="s">
        <v>81</v>
      </c>
      <c r="B12" s="264">
        <v>2778186304.0899997</v>
      </c>
      <c r="C12" s="378">
        <v>18062814.899999999</v>
      </c>
      <c r="D12" s="165">
        <v>2796368289.8000002</v>
      </c>
      <c r="E12" s="172">
        <v>2728637550.8600001</v>
      </c>
      <c r="F12" s="2">
        <f t="shared" ref="F12" si="2">(E12/D12)</f>
        <v>0.97577903483348249</v>
      </c>
      <c r="G12" s="76">
        <f>+D12-E12</f>
        <v>67730738.940000057</v>
      </c>
      <c r="H12" s="4">
        <f t="shared" ref="H12" si="3">(G12/D12)</f>
        <v>2.422096516651755E-2</v>
      </c>
      <c r="K12" s="14"/>
      <c r="M12" s="132"/>
    </row>
    <row r="13" spans="1:13" x14ac:dyDescent="0.25">
      <c r="A13" s="95" t="s">
        <v>123</v>
      </c>
      <c r="B13" s="264">
        <v>2791567882.79</v>
      </c>
      <c r="C13" s="378">
        <v>1361953.81</v>
      </c>
      <c r="D13" s="165">
        <v>2804258426.5599999</v>
      </c>
      <c r="E13" s="215">
        <v>2804139255.75</v>
      </c>
      <c r="F13" s="2">
        <f>(E13/D13)</f>
        <v>0.99995750362774294</v>
      </c>
      <c r="G13" s="136">
        <f>+D13-E13</f>
        <v>119170.80999994278</v>
      </c>
      <c r="H13" s="4">
        <f>(G13/D13)</f>
        <v>4.2496372257007108E-5</v>
      </c>
    </row>
    <row r="14" spans="1:13" x14ac:dyDescent="0.25">
      <c r="A14" s="29" t="s">
        <v>86</v>
      </c>
      <c r="B14" s="85">
        <f>SUM(B11:B13)</f>
        <v>8337543115.46</v>
      </c>
      <c r="C14" s="8">
        <f>SUM(C11:C13)</f>
        <v>21924144.149999995</v>
      </c>
      <c r="D14" s="8">
        <f>SUM(D11:D13)</f>
        <v>8438645759.3199997</v>
      </c>
      <c r="E14" s="8">
        <f>SUM(E11:E13)</f>
        <v>8301913879.1900005</v>
      </c>
      <c r="F14" s="326">
        <v>0.99</v>
      </c>
      <c r="G14" s="327">
        <v>69881970.379998684</v>
      </c>
      <c r="H14" s="5">
        <f>(G14/D14)</f>
        <v>8.2811830681265488E-3</v>
      </c>
      <c r="I14" s="18"/>
    </row>
    <row r="15" spans="1:13" hidden="1" x14ac:dyDescent="0.25">
      <c r="A15" s="95" t="s">
        <v>34</v>
      </c>
      <c r="B15" s="145">
        <v>1913412632.9166667</v>
      </c>
      <c r="C15" s="145"/>
      <c r="D15" s="145"/>
      <c r="E15" s="146"/>
      <c r="F15" s="2">
        <f t="shared" ref="F15:F28" si="4">(E15/B15)</f>
        <v>0</v>
      </c>
      <c r="G15" s="76">
        <f>+B15-E15</f>
        <v>1913412632.9166667</v>
      </c>
      <c r="H15" s="4">
        <f t="shared" ref="H15:H27" si="5">(G15/B15)</f>
        <v>1</v>
      </c>
    </row>
    <row r="16" spans="1:13" hidden="1" x14ac:dyDescent="0.25">
      <c r="A16" s="95" t="s">
        <v>35</v>
      </c>
      <c r="B16" s="145">
        <v>1913412632.9166667</v>
      </c>
      <c r="C16" s="145"/>
      <c r="D16" s="145"/>
      <c r="E16" s="146"/>
      <c r="F16" s="2">
        <f t="shared" si="4"/>
        <v>0</v>
      </c>
      <c r="G16" s="76">
        <f>+B16-E16</f>
        <v>1913412632.9166667</v>
      </c>
      <c r="H16" s="4">
        <f t="shared" si="5"/>
        <v>1</v>
      </c>
    </row>
    <row r="17" spans="1:12" hidden="1" x14ac:dyDescent="0.25">
      <c r="A17" s="95" t="s">
        <v>36</v>
      </c>
      <c r="B17" s="145">
        <v>1913412632.9166667</v>
      </c>
      <c r="C17" s="145"/>
      <c r="D17" s="145"/>
      <c r="E17" s="146"/>
      <c r="F17" s="2">
        <f t="shared" si="4"/>
        <v>0</v>
      </c>
      <c r="G17" s="76">
        <f>+B17-E17</f>
        <v>1913412632.9166667</v>
      </c>
      <c r="H17" s="4">
        <f t="shared" si="5"/>
        <v>1</v>
      </c>
    </row>
    <row r="18" spans="1:12" hidden="1" x14ac:dyDescent="0.25">
      <c r="A18" s="29" t="s">
        <v>122</v>
      </c>
      <c r="B18" s="8">
        <f>SUM(B15:B17)</f>
        <v>5740237898.75</v>
      </c>
      <c r="C18" s="8"/>
      <c r="D18" s="8"/>
      <c r="E18" s="8">
        <f>SUM(E15:E17)</f>
        <v>0</v>
      </c>
      <c r="F18" s="3">
        <f t="shared" si="4"/>
        <v>0</v>
      </c>
      <c r="G18" s="13">
        <f>SUM(G15:G17)</f>
        <v>5740237898.75</v>
      </c>
      <c r="H18" s="5">
        <f t="shared" si="5"/>
        <v>1</v>
      </c>
    </row>
    <row r="19" spans="1:12" hidden="1" x14ac:dyDescent="0.25">
      <c r="A19" s="95" t="s">
        <v>123</v>
      </c>
      <c r="B19" s="145">
        <v>1913412632.9166667</v>
      </c>
      <c r="C19" s="145"/>
      <c r="D19" s="145"/>
      <c r="E19" s="146"/>
      <c r="F19" s="2">
        <f t="shared" si="4"/>
        <v>0</v>
      </c>
      <c r="G19" s="76">
        <f>+B19-E19</f>
        <v>1913412632.9166667</v>
      </c>
      <c r="H19" s="4">
        <f t="shared" si="5"/>
        <v>1</v>
      </c>
    </row>
    <row r="20" spans="1:12" hidden="1" x14ac:dyDescent="0.25">
      <c r="A20" s="95" t="s">
        <v>81</v>
      </c>
      <c r="B20" s="145">
        <v>1913412632.9166667</v>
      </c>
      <c r="C20" s="145"/>
      <c r="D20" s="145"/>
      <c r="E20" s="146"/>
      <c r="F20" s="2">
        <f t="shared" si="4"/>
        <v>0</v>
      </c>
      <c r="G20" s="76">
        <f>+B20-E20</f>
        <v>1913412632.9166667</v>
      </c>
      <c r="H20" s="4">
        <f t="shared" si="5"/>
        <v>1</v>
      </c>
    </row>
    <row r="21" spans="1:12" hidden="1" x14ac:dyDescent="0.25">
      <c r="A21" s="95" t="s">
        <v>82</v>
      </c>
      <c r="B21" s="145">
        <v>1913412632.9166667</v>
      </c>
      <c r="C21" s="145"/>
      <c r="D21" s="145"/>
      <c r="E21" s="146"/>
      <c r="F21" s="2">
        <f t="shared" si="4"/>
        <v>0</v>
      </c>
      <c r="G21" s="76">
        <f>+B21-E21</f>
        <v>1913412632.9166667</v>
      </c>
      <c r="H21" s="4">
        <f t="shared" si="5"/>
        <v>1</v>
      </c>
    </row>
    <row r="22" spans="1:12" hidden="1" x14ac:dyDescent="0.25">
      <c r="A22" s="29" t="s">
        <v>86</v>
      </c>
      <c r="B22" s="8">
        <f>SUM(B19:B21)</f>
        <v>5740237898.75</v>
      </c>
      <c r="C22" s="8"/>
      <c r="D22" s="8"/>
      <c r="E22" s="8">
        <f>SUM(E19:E21)</f>
        <v>0</v>
      </c>
      <c r="F22" s="3">
        <f t="shared" si="4"/>
        <v>0</v>
      </c>
      <c r="G22" s="13">
        <f>SUM(G19:G21)</f>
        <v>5740237898.75</v>
      </c>
      <c r="H22" s="5">
        <f t="shared" si="5"/>
        <v>1</v>
      </c>
    </row>
    <row r="23" spans="1:12" hidden="1" x14ac:dyDescent="0.25">
      <c r="A23" s="95" t="s">
        <v>83</v>
      </c>
      <c r="B23" s="145">
        <v>1913412632.9166667</v>
      </c>
      <c r="C23" s="145"/>
      <c r="D23" s="145"/>
      <c r="E23" s="146"/>
      <c r="F23" s="2">
        <f t="shared" si="4"/>
        <v>0</v>
      </c>
      <c r="G23" s="76">
        <f>+B23-E23</f>
        <v>1913412632.9166667</v>
      </c>
      <c r="H23" s="4">
        <f t="shared" si="5"/>
        <v>1</v>
      </c>
    </row>
    <row r="24" spans="1:12" hidden="1" x14ac:dyDescent="0.25">
      <c r="A24" s="95" t="s">
        <v>84</v>
      </c>
      <c r="B24" s="145">
        <v>1913412632.9166667</v>
      </c>
      <c r="C24" s="145"/>
      <c r="D24" s="145"/>
      <c r="E24" s="146"/>
      <c r="F24" s="2">
        <f t="shared" si="4"/>
        <v>0</v>
      </c>
      <c r="G24" s="76">
        <f>+B24-E24</f>
        <v>1913412632.9166667</v>
      </c>
      <c r="H24" s="4">
        <f t="shared" si="5"/>
        <v>1</v>
      </c>
    </row>
    <row r="25" spans="1:12" hidden="1" x14ac:dyDescent="0.25">
      <c r="A25" s="95" t="s">
        <v>85</v>
      </c>
      <c r="B25" s="145">
        <v>1843710155</v>
      </c>
      <c r="C25" s="145"/>
      <c r="D25" s="145"/>
      <c r="E25" s="146"/>
      <c r="F25" s="2">
        <f t="shared" si="4"/>
        <v>0</v>
      </c>
      <c r="G25" s="76">
        <f>+B25-E25</f>
        <v>1843710155</v>
      </c>
      <c r="H25" s="4">
        <f t="shared" si="5"/>
        <v>1</v>
      </c>
    </row>
    <row r="26" spans="1:12" hidden="1" x14ac:dyDescent="0.25">
      <c r="A26" s="95" t="s">
        <v>119</v>
      </c>
      <c r="B26" s="145">
        <v>1913412632.9166667</v>
      </c>
      <c r="C26" s="145"/>
      <c r="D26" s="145"/>
      <c r="E26" s="146"/>
      <c r="F26" s="2">
        <f t="shared" si="4"/>
        <v>0</v>
      </c>
      <c r="G26" s="76">
        <f>+B26-E26</f>
        <v>1913412632.9166667</v>
      </c>
      <c r="H26" s="4">
        <f t="shared" si="5"/>
        <v>1</v>
      </c>
    </row>
    <row r="27" spans="1:12" hidden="1" x14ac:dyDescent="0.25">
      <c r="A27" s="29" t="s">
        <v>87</v>
      </c>
      <c r="B27" s="8">
        <f>SUM(B23:B26)</f>
        <v>7583948053.750001</v>
      </c>
      <c r="C27" s="8"/>
      <c r="D27" s="8"/>
      <c r="E27" s="8">
        <f>SUM(E23:E26)</f>
        <v>0</v>
      </c>
      <c r="F27" s="3">
        <f t="shared" si="4"/>
        <v>0</v>
      </c>
      <c r="G27" s="13">
        <f>SUM(G23:G26)</f>
        <v>7583948053.750001</v>
      </c>
      <c r="H27" s="5">
        <f t="shared" si="5"/>
        <v>1</v>
      </c>
    </row>
    <row r="28" spans="1:12" hidden="1" x14ac:dyDescent="0.25">
      <c r="A28" s="148" t="s">
        <v>9</v>
      </c>
      <c r="B28" s="10">
        <f>+B14+B18+B22+B27</f>
        <v>27401966966.709999</v>
      </c>
      <c r="C28" s="10"/>
      <c r="D28" s="10"/>
      <c r="E28" s="10">
        <f>+E14+E18+E22+E27</f>
        <v>8301913879.1900005</v>
      </c>
      <c r="F28" s="17">
        <f t="shared" si="4"/>
        <v>0.30296780845242965</v>
      </c>
      <c r="G28" s="11">
        <f>+G14+G18+G22+G27</f>
        <v>19134305821.630001</v>
      </c>
      <c r="H28" s="17">
        <v>1</v>
      </c>
    </row>
    <row r="29" spans="1:12" ht="15.75" customHeight="1" x14ac:dyDescent="0.25">
      <c r="A29" s="337" t="s">
        <v>250</v>
      </c>
      <c r="B29" s="337"/>
      <c r="C29" s="337"/>
      <c r="D29" s="337"/>
      <c r="E29" s="337"/>
      <c r="F29" s="337"/>
      <c r="G29" s="337"/>
      <c r="H29" s="337"/>
    </row>
    <row r="30" spans="1:12" ht="13.5" customHeight="1" x14ac:dyDescent="0.25">
      <c r="A30" s="338" t="s">
        <v>251</v>
      </c>
      <c r="B30" s="338"/>
      <c r="C30" s="338"/>
      <c r="D30" s="338"/>
      <c r="E30" s="338"/>
      <c r="F30" s="338"/>
      <c r="G30" s="338"/>
      <c r="H30" s="338"/>
      <c r="I30" s="14"/>
      <c r="J30" s="132"/>
    </row>
    <row r="31" spans="1:12" ht="12.75" customHeight="1" x14ac:dyDescent="0.25">
      <c r="A31" s="337" t="s">
        <v>230</v>
      </c>
      <c r="B31" s="337"/>
      <c r="C31" s="337"/>
      <c r="D31" s="337"/>
      <c r="E31" s="337"/>
      <c r="F31" s="337"/>
      <c r="G31" s="337"/>
      <c r="H31" s="337"/>
      <c r="J31" s="35"/>
      <c r="L31" s="14"/>
    </row>
    <row r="32" spans="1:12" x14ac:dyDescent="0.25">
      <c r="A32" s="270"/>
      <c r="B32" s="269"/>
      <c r="C32" s="141"/>
      <c r="D32" s="141"/>
      <c r="E32" s="141"/>
      <c r="F32" s="141"/>
      <c r="G32" s="141"/>
      <c r="H32" s="141"/>
      <c r="I32" s="14"/>
    </row>
    <row r="33" spans="1:8" x14ac:dyDescent="0.25">
      <c r="A33" s="141"/>
      <c r="B33" s="141"/>
      <c r="C33" s="141"/>
      <c r="D33" s="141"/>
      <c r="E33" s="141"/>
      <c r="F33" s="141"/>
      <c r="G33" s="141"/>
      <c r="H33" s="141"/>
    </row>
    <row r="34" spans="1:8" x14ac:dyDescent="0.25">
      <c r="A34" s="141"/>
      <c r="B34" s="141"/>
      <c r="C34" s="141"/>
      <c r="D34" s="141"/>
      <c r="E34" s="141"/>
      <c r="F34" s="141"/>
      <c r="G34" s="141"/>
      <c r="H34" s="141"/>
    </row>
    <row r="35" spans="1:8" x14ac:dyDescent="0.25">
      <c r="A35" s="141"/>
      <c r="B35" s="141"/>
      <c r="C35" s="141"/>
      <c r="D35" s="141"/>
      <c r="E35" s="141"/>
      <c r="F35" s="141"/>
      <c r="G35" s="141"/>
      <c r="H35" s="141"/>
    </row>
    <row r="36" spans="1:8" x14ac:dyDescent="0.25">
      <c r="A36" s="141"/>
      <c r="B36" s="141"/>
      <c r="C36" s="141"/>
      <c r="D36" s="141"/>
      <c r="E36" s="141"/>
      <c r="F36" s="141"/>
      <c r="G36" s="141"/>
      <c r="H36" s="141"/>
    </row>
    <row r="37" spans="1:8" x14ac:dyDescent="0.25">
      <c r="A37" s="141"/>
      <c r="B37" s="141"/>
      <c r="C37" s="141"/>
      <c r="D37" s="141"/>
      <c r="E37" s="141"/>
      <c r="F37" s="141"/>
      <c r="G37" s="141"/>
      <c r="H37" s="141"/>
    </row>
    <row r="38" spans="1:8" x14ac:dyDescent="0.25">
      <c r="A38" s="141"/>
      <c r="B38" s="141"/>
      <c r="C38" s="141"/>
      <c r="D38" s="141"/>
      <c r="E38" s="141"/>
      <c r="F38" s="141"/>
      <c r="G38" s="141"/>
      <c r="H38" s="141"/>
    </row>
    <row r="39" spans="1:8" x14ac:dyDescent="0.25">
      <c r="A39" s="141"/>
      <c r="B39" s="141"/>
      <c r="C39" s="141"/>
      <c r="D39" s="141"/>
      <c r="E39" s="141"/>
      <c r="F39" s="141"/>
      <c r="G39" s="141"/>
      <c r="H39" s="141"/>
    </row>
    <row r="40" spans="1:8" x14ac:dyDescent="0.25">
      <c r="A40" s="141"/>
      <c r="B40" s="141"/>
      <c r="C40" s="141"/>
      <c r="D40" s="141"/>
      <c r="E40" s="141"/>
      <c r="F40" s="141"/>
      <c r="G40" s="141"/>
      <c r="H40" s="141"/>
    </row>
    <row r="41" spans="1:8" x14ac:dyDescent="0.25">
      <c r="A41" s="141"/>
      <c r="B41" s="141"/>
      <c r="C41" s="141"/>
      <c r="D41" s="141"/>
      <c r="E41" s="141"/>
      <c r="F41" s="141"/>
      <c r="G41" s="141"/>
      <c r="H41" s="141"/>
    </row>
    <row r="42" spans="1:8" x14ac:dyDescent="0.25">
      <c r="A42" s="141"/>
      <c r="B42" s="141"/>
      <c r="C42" s="141"/>
      <c r="D42" s="141"/>
      <c r="E42" s="141"/>
      <c r="F42" s="141"/>
      <c r="G42" s="141"/>
      <c r="H42" s="141"/>
    </row>
    <row r="43" spans="1:8" x14ac:dyDescent="0.25">
      <c r="A43" s="141"/>
      <c r="B43" s="141"/>
      <c r="C43" s="141"/>
      <c r="D43" s="141"/>
      <c r="E43" s="141"/>
      <c r="F43" s="141"/>
      <c r="G43" s="141"/>
      <c r="H43" s="141"/>
    </row>
    <row r="44" spans="1:8" x14ac:dyDescent="0.25">
      <c r="A44" s="141"/>
      <c r="B44" s="141"/>
      <c r="C44" s="141"/>
      <c r="D44" s="141"/>
      <c r="E44" s="141"/>
      <c r="F44" s="141"/>
      <c r="G44" s="141"/>
      <c r="H44" s="141"/>
    </row>
    <row r="45" spans="1:8" x14ac:dyDescent="0.25">
      <c r="A45" s="141"/>
      <c r="B45" s="141"/>
      <c r="C45" s="141"/>
      <c r="D45" s="141"/>
      <c r="E45" s="141"/>
      <c r="F45" s="141"/>
      <c r="G45" s="141"/>
      <c r="H45" s="141"/>
    </row>
    <row r="46" spans="1:8" x14ac:dyDescent="0.25">
      <c r="A46" s="141"/>
      <c r="B46" s="141"/>
      <c r="C46" s="141"/>
      <c r="D46" s="141"/>
      <c r="E46" s="141"/>
      <c r="F46" s="141"/>
      <c r="G46" s="141"/>
      <c r="H46" s="141"/>
    </row>
    <row r="47" spans="1:8" x14ac:dyDescent="0.25">
      <c r="A47" s="141"/>
      <c r="B47" s="141"/>
      <c r="C47" s="141"/>
      <c r="D47" s="141"/>
      <c r="E47" s="141"/>
      <c r="F47" s="141"/>
      <c r="G47" s="141"/>
      <c r="H47" s="141"/>
    </row>
    <row r="48" spans="1:8" x14ac:dyDescent="0.25">
      <c r="A48" s="141"/>
      <c r="B48" s="141"/>
      <c r="C48" s="141"/>
      <c r="D48" s="141"/>
      <c r="E48" s="141"/>
      <c r="F48" s="141"/>
      <c r="G48" s="141"/>
      <c r="H48" s="141"/>
    </row>
    <row r="49" spans="1:9" x14ac:dyDescent="0.25">
      <c r="A49" s="141"/>
      <c r="B49" s="141"/>
      <c r="C49" s="141"/>
      <c r="D49" s="141"/>
      <c r="E49" s="141"/>
      <c r="F49" s="141"/>
      <c r="G49" s="141"/>
      <c r="H49" s="141"/>
    </row>
    <row r="50" spans="1:9" x14ac:dyDescent="0.25">
      <c r="A50" s="141"/>
      <c r="B50" s="141"/>
      <c r="C50" s="141"/>
      <c r="D50" s="141"/>
      <c r="E50" s="141"/>
      <c r="F50" s="141"/>
      <c r="G50" s="141"/>
      <c r="H50" s="141"/>
    </row>
    <row r="51" spans="1:9" x14ac:dyDescent="0.25">
      <c r="A51" s="141"/>
      <c r="B51" s="141"/>
      <c r="C51" s="141"/>
      <c r="D51" s="141"/>
      <c r="E51" s="141"/>
      <c r="F51" s="141"/>
      <c r="G51" s="141"/>
      <c r="H51" s="141"/>
    </row>
    <row r="52" spans="1:9" x14ac:dyDescent="0.25">
      <c r="A52" s="141"/>
      <c r="B52" s="141"/>
      <c r="C52" s="141"/>
      <c r="D52" s="141"/>
      <c r="E52" s="141"/>
      <c r="F52" s="141"/>
      <c r="G52" s="141"/>
      <c r="H52" s="141"/>
    </row>
    <row r="53" spans="1:9" x14ac:dyDescent="0.25">
      <c r="A53" s="141"/>
      <c r="B53" s="141"/>
      <c r="C53" s="141"/>
      <c r="D53" s="141"/>
      <c r="E53" s="141"/>
      <c r="F53" s="141"/>
      <c r="G53" s="141"/>
      <c r="H53" s="141"/>
    </row>
    <row r="54" spans="1:9" x14ac:dyDescent="0.25">
      <c r="B54" s="95"/>
      <c r="C54" s="165"/>
      <c r="D54" s="171"/>
      <c r="E54" s="145"/>
      <c r="F54" s="172"/>
      <c r="G54" s="2"/>
      <c r="H54" s="76"/>
      <c r="I54" s="4"/>
    </row>
    <row r="56" spans="1:9" x14ac:dyDescent="0.25">
      <c r="B56" s="95"/>
      <c r="C56" s="171"/>
      <c r="D56" s="165"/>
      <c r="E56" s="145"/>
      <c r="F56" s="172"/>
      <c r="G56" s="2"/>
      <c r="H56" s="136"/>
      <c r="I56" s="4"/>
    </row>
  </sheetData>
  <mergeCells count="16">
    <mergeCell ref="A31:H31"/>
    <mergeCell ref="A29:H29"/>
    <mergeCell ref="A30:H30"/>
    <mergeCell ref="A1:H1"/>
    <mergeCell ref="A2:H2"/>
    <mergeCell ref="A3:H3"/>
    <mergeCell ref="A5:H5"/>
    <mergeCell ref="E7:F8"/>
    <mergeCell ref="G7:H8"/>
    <mergeCell ref="B7:B8"/>
    <mergeCell ref="A7:A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W67"/>
  <sheetViews>
    <sheetView showGridLines="0" tabSelected="1" zoomScaleNormal="100" zoomScaleSheetLayoutView="130" workbookViewId="0">
      <selection activeCell="C12" sqref="C12"/>
    </sheetView>
  </sheetViews>
  <sheetFormatPr baseColWidth="10" defaultColWidth="11.42578125" defaultRowHeight="15" x14ac:dyDescent="0.25"/>
  <cols>
    <col min="1" max="1" width="12.28515625" style="1" customWidth="1"/>
    <col min="2" max="2" width="11" style="1" customWidth="1"/>
    <col min="3" max="3" width="11.42578125" style="1" customWidth="1"/>
    <col min="4" max="4" width="13.42578125" style="1" customWidth="1"/>
    <col min="5" max="5" width="11" style="1" customWidth="1"/>
    <col min="6" max="6" width="10.28515625" style="1" customWidth="1"/>
    <col min="7" max="7" width="13" style="1" customWidth="1"/>
    <col min="8" max="8" width="11.28515625" style="1" customWidth="1"/>
    <col min="9" max="9" width="11.7109375" style="1" customWidth="1"/>
    <col min="10" max="10" width="14.140625" style="1" customWidth="1"/>
    <col min="11" max="11" width="10.7109375" style="1" customWidth="1"/>
    <col min="12" max="12" width="10.28515625" style="1" customWidth="1"/>
    <col min="13" max="13" width="13.42578125" style="1" customWidth="1"/>
    <col min="14" max="14" width="11" style="1" customWidth="1"/>
    <col min="15" max="15" width="15.42578125" style="1" hidden="1" customWidth="1"/>
    <col min="16" max="16" width="16.42578125" style="1" hidden="1" customWidth="1"/>
    <col min="17" max="17" width="14.71093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16384" width="11.42578125" style="1"/>
  </cols>
  <sheetData>
    <row r="1" spans="1:23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2"/>
    </row>
    <row r="2" spans="1:23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23" x14ac:dyDescent="0.25">
      <c r="A3" s="330" t="s">
        <v>150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23" x14ac:dyDescent="0.25">
      <c r="A4" s="330" t="s">
        <v>239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23" x14ac:dyDescent="0.25">
      <c r="A5" s="331" t="s">
        <v>218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23" x14ac:dyDescent="0.25">
      <c r="A6" s="45"/>
      <c r="B6" s="342" t="s">
        <v>216</v>
      </c>
      <c r="C6" s="342"/>
      <c r="D6" s="342"/>
      <c r="E6" s="345" t="s">
        <v>132</v>
      </c>
      <c r="F6" s="345"/>
      <c r="G6" s="345"/>
      <c r="H6" s="343" t="s">
        <v>14</v>
      </c>
      <c r="I6" s="343"/>
      <c r="J6" s="343"/>
      <c r="K6" s="344" t="s">
        <v>15</v>
      </c>
      <c r="L6" s="344"/>
      <c r="M6" s="344"/>
    </row>
    <row r="7" spans="1:23" ht="25.5" x14ac:dyDescent="0.25">
      <c r="A7" s="46" t="s">
        <v>1</v>
      </c>
      <c r="B7" s="48" t="s">
        <v>16</v>
      </c>
      <c r="C7" s="48" t="s">
        <v>17</v>
      </c>
      <c r="D7" s="48" t="s">
        <v>18</v>
      </c>
      <c r="E7" s="48" t="s">
        <v>16</v>
      </c>
      <c r="F7" s="48" t="s">
        <v>17</v>
      </c>
      <c r="G7" s="48" t="s">
        <v>18</v>
      </c>
      <c r="H7" s="48" t="s">
        <v>16</v>
      </c>
      <c r="I7" s="48" t="s">
        <v>17</v>
      </c>
      <c r="J7" s="48" t="s">
        <v>18</v>
      </c>
      <c r="K7" s="48" t="s">
        <v>16</v>
      </c>
      <c r="L7" s="48" t="s">
        <v>17</v>
      </c>
      <c r="M7" s="48" t="s">
        <v>18</v>
      </c>
      <c r="W7" s="37"/>
    </row>
    <row r="8" spans="1:23" s="225" customFormat="1" hidden="1" x14ac:dyDescent="0.25">
      <c r="A8" s="226" t="s">
        <v>119</v>
      </c>
      <c r="B8" s="227"/>
      <c r="C8" s="224"/>
      <c r="D8" s="224"/>
      <c r="E8" s="223"/>
      <c r="F8" s="223"/>
      <c r="G8" s="223"/>
      <c r="H8" s="222"/>
      <c r="I8" s="223"/>
      <c r="J8" s="223"/>
      <c r="K8" s="228">
        <f>+H8+E8+B8</f>
        <v>0</v>
      </c>
      <c r="L8" s="228">
        <f>+C8+F8+I8</f>
        <v>0</v>
      </c>
      <c r="M8" s="228">
        <f>+D8+G8+J8</f>
        <v>0</v>
      </c>
    </row>
    <row r="9" spans="1:23" x14ac:dyDescent="0.25">
      <c r="A9" s="234" t="s">
        <v>82</v>
      </c>
      <c r="B9" s="304">
        <v>127302</v>
      </c>
      <c r="C9" s="34">
        <v>139763</v>
      </c>
      <c r="D9" s="34">
        <v>2055688953.1300001</v>
      </c>
      <c r="E9" s="34">
        <v>19447</v>
      </c>
      <c r="F9" s="34">
        <v>19447</v>
      </c>
      <c r="G9" s="34">
        <v>116682000</v>
      </c>
      <c r="H9" s="34">
        <v>23598</v>
      </c>
      <c r="I9" s="34">
        <v>23673</v>
      </c>
      <c r="J9" s="34">
        <v>596766119.45000005</v>
      </c>
      <c r="K9" s="39">
        <f>+B9+H9+E9</f>
        <v>170347</v>
      </c>
      <c r="L9" s="40">
        <f t="shared" ref="L9" si="0">+C9+I9+F9</f>
        <v>182883</v>
      </c>
      <c r="M9" s="39">
        <f t="shared" ref="M9" si="1">+D9+J9+G9</f>
        <v>2769137072.5799999</v>
      </c>
      <c r="U9" s="123">
        <f>+U31/1000000</f>
        <v>2165.5694661900006</v>
      </c>
    </row>
    <row r="10" spans="1:23" x14ac:dyDescent="0.25">
      <c r="A10" s="47" t="s">
        <v>81</v>
      </c>
      <c r="B10" s="304">
        <v>125703</v>
      </c>
      <c r="C10" s="230">
        <v>138103</v>
      </c>
      <c r="D10" s="34">
        <v>2021698758.5899999</v>
      </c>
      <c r="E10" s="34">
        <v>18872</v>
      </c>
      <c r="F10" s="34">
        <v>18872</v>
      </c>
      <c r="G10" s="34">
        <v>113232000</v>
      </c>
      <c r="H10" s="34">
        <v>23556</v>
      </c>
      <c r="I10" s="34">
        <v>23631</v>
      </c>
      <c r="J10" s="34">
        <v>593706792.26999998</v>
      </c>
      <c r="K10" s="39">
        <f t="shared" ref="K10:M10" si="2">+B10+H10+E10</f>
        <v>168131</v>
      </c>
      <c r="L10" s="40">
        <f t="shared" si="2"/>
        <v>180606</v>
      </c>
      <c r="M10" s="39">
        <f t="shared" si="2"/>
        <v>2728637550.8599997</v>
      </c>
      <c r="Q10" s="37">
        <f>+L11-L10</f>
        <v>667</v>
      </c>
    </row>
    <row r="11" spans="1:23" x14ac:dyDescent="0.25">
      <c r="A11" s="47" t="s">
        <v>80</v>
      </c>
      <c r="B11" s="304">
        <v>126163</v>
      </c>
      <c r="C11" s="34">
        <v>138623</v>
      </c>
      <c r="D11" s="34">
        <v>2028499926.54</v>
      </c>
      <c r="E11" s="34">
        <v>18959</v>
      </c>
      <c r="F11" s="34">
        <v>18959</v>
      </c>
      <c r="G11" s="34">
        <v>113754000</v>
      </c>
      <c r="H11" s="34">
        <v>23616</v>
      </c>
      <c r="I11" s="34">
        <v>23691</v>
      </c>
      <c r="J11" s="34">
        <v>595670054.84000003</v>
      </c>
      <c r="K11" s="39">
        <f>+B11+H11+E11</f>
        <v>168738</v>
      </c>
      <c r="L11" s="40">
        <f t="shared" ref="L11" si="3">+C11+I11+F11</f>
        <v>181273</v>
      </c>
      <c r="M11" s="138">
        <f t="shared" ref="M11" si="4">+D11+J11+G11</f>
        <v>2737923981.3800001</v>
      </c>
      <c r="S11" s="35"/>
      <c r="V11" s="1">
        <f>+U31/1000000</f>
        <v>2165.5694661900006</v>
      </c>
    </row>
    <row r="12" spans="1:23" x14ac:dyDescent="0.25">
      <c r="A12" s="29" t="s">
        <v>86</v>
      </c>
      <c r="B12" s="41">
        <f>+B9</f>
        <v>127302</v>
      </c>
      <c r="C12" s="41">
        <f>+C9</f>
        <v>139763</v>
      </c>
      <c r="D12" s="41">
        <f>SUM(D9:D11)</f>
        <v>6105887638.2600002</v>
      </c>
      <c r="E12" s="41">
        <f>+E9</f>
        <v>19447</v>
      </c>
      <c r="F12" s="41">
        <f>+F9</f>
        <v>19447</v>
      </c>
      <c r="G12" s="41">
        <f>SUM(G9:G11)</f>
        <v>343668000</v>
      </c>
      <c r="H12" s="41">
        <f>+H9</f>
        <v>23598</v>
      </c>
      <c r="I12" s="41">
        <f>+I9</f>
        <v>23673</v>
      </c>
      <c r="J12" s="137">
        <f>SUM(J9:J11)</f>
        <v>1786142966.5599999</v>
      </c>
      <c r="K12" s="41">
        <f>+K9</f>
        <v>170347</v>
      </c>
      <c r="L12" s="41">
        <f>+L9</f>
        <v>182883</v>
      </c>
      <c r="M12" s="137">
        <f>SUM(M9:M11)</f>
        <v>8235698604.8199997</v>
      </c>
      <c r="S12" s="341" t="s">
        <v>208</v>
      </c>
      <c r="T12" s="341"/>
      <c r="U12" s="341"/>
    </row>
    <row r="13" spans="1:23" hidden="1" x14ac:dyDescent="0.25">
      <c r="A13" s="47" t="s">
        <v>34</v>
      </c>
      <c r="B13" s="173"/>
      <c r="C13" s="134"/>
      <c r="D13" s="134">
        <f>SUM(D8:D11)</f>
        <v>6105887638.2600002</v>
      </c>
      <c r="E13" s="134"/>
      <c r="F13" s="134"/>
      <c r="G13" s="134">
        <f>SUM(G8:G11)</f>
        <v>343668000</v>
      </c>
      <c r="H13" s="134"/>
      <c r="I13" s="134"/>
      <c r="J13" s="134">
        <f>SUM(J8:J11)</f>
        <v>1786142966.5599999</v>
      </c>
      <c r="K13" s="39">
        <f t="shared" ref="K13:M15" si="5">+B13+H13+E13</f>
        <v>0</v>
      </c>
      <c r="L13" s="40">
        <f t="shared" si="5"/>
        <v>0</v>
      </c>
      <c r="M13" s="39">
        <f t="shared" si="5"/>
        <v>8235698604.8199997</v>
      </c>
    </row>
    <row r="14" spans="1:23" hidden="1" x14ac:dyDescent="0.25">
      <c r="A14" s="47" t="s">
        <v>35</v>
      </c>
      <c r="B14" s="173"/>
      <c r="C14" s="174"/>
      <c r="D14" s="134"/>
      <c r="E14" s="134"/>
      <c r="F14" s="134"/>
      <c r="G14" s="134"/>
      <c r="H14" s="134"/>
      <c r="I14" s="134"/>
      <c r="J14" s="134"/>
      <c r="K14" s="39">
        <f t="shared" si="5"/>
        <v>0</v>
      </c>
      <c r="L14" s="40">
        <f t="shared" si="5"/>
        <v>0</v>
      </c>
      <c r="M14" s="39">
        <f t="shared" si="5"/>
        <v>0</v>
      </c>
    </row>
    <row r="15" spans="1:23" hidden="1" x14ac:dyDescent="0.25">
      <c r="A15" s="47" t="s">
        <v>36</v>
      </c>
      <c r="B15" s="173"/>
      <c r="C15" s="134"/>
      <c r="D15" s="134"/>
      <c r="E15" s="134"/>
      <c r="F15" s="134"/>
      <c r="G15" s="134"/>
      <c r="H15" s="134"/>
      <c r="I15" s="134"/>
      <c r="J15" s="134"/>
      <c r="K15" s="39">
        <f t="shared" si="5"/>
        <v>0</v>
      </c>
      <c r="L15" s="40">
        <f t="shared" si="5"/>
        <v>0</v>
      </c>
      <c r="M15" s="39">
        <f t="shared" si="5"/>
        <v>0</v>
      </c>
      <c r="Q15" s="37">
        <f>+M11-M10</f>
        <v>9286430.5200004578</v>
      </c>
      <c r="S15" s="35"/>
    </row>
    <row r="16" spans="1:23" hidden="1" x14ac:dyDescent="0.25">
      <c r="A16" s="29" t="s">
        <v>122</v>
      </c>
      <c r="B16" s="41">
        <f>+B15</f>
        <v>0</v>
      </c>
      <c r="C16" s="41">
        <f>+C15</f>
        <v>0</v>
      </c>
      <c r="D16" s="41">
        <f>+SUM(D13:D15)</f>
        <v>6105887638.2600002</v>
      </c>
      <c r="E16" s="41">
        <f>+E15</f>
        <v>0</v>
      </c>
      <c r="F16" s="41">
        <f>+F15</f>
        <v>0</v>
      </c>
      <c r="G16" s="41">
        <f>+SUM(G13:G15)</f>
        <v>343668000</v>
      </c>
      <c r="H16" s="41">
        <f>+H15</f>
        <v>0</v>
      </c>
      <c r="I16" s="41">
        <f>+I15</f>
        <v>0</v>
      </c>
      <c r="J16" s="41">
        <f>+SUM(J13:J15)</f>
        <v>1786142966.5599999</v>
      </c>
      <c r="K16" s="41">
        <f>+K15</f>
        <v>0</v>
      </c>
      <c r="L16" s="42">
        <f>+L15</f>
        <v>0</v>
      </c>
      <c r="M16" s="41">
        <f>+SUM(M13:M15)</f>
        <v>8235698604.8199997</v>
      </c>
    </row>
    <row r="17" spans="1:21" hidden="1" x14ac:dyDescent="0.25">
      <c r="A17" s="47" t="s">
        <v>80</v>
      </c>
      <c r="B17" s="173"/>
      <c r="C17" s="134"/>
      <c r="D17" s="134"/>
      <c r="E17" s="134"/>
      <c r="F17" s="134"/>
      <c r="G17" s="134"/>
      <c r="H17" s="134"/>
      <c r="I17" s="134"/>
      <c r="J17" s="134"/>
      <c r="K17" s="39">
        <f t="shared" ref="K17:M19" si="6">+B17+H17+E17</f>
        <v>0</v>
      </c>
      <c r="L17" s="40">
        <f t="shared" si="6"/>
        <v>0</v>
      </c>
      <c r="M17" s="39">
        <f t="shared" si="6"/>
        <v>0</v>
      </c>
    </row>
    <row r="18" spans="1:21" hidden="1" x14ac:dyDescent="0.25">
      <c r="A18" s="47" t="s">
        <v>81</v>
      </c>
      <c r="B18" s="173"/>
      <c r="C18" s="174"/>
      <c r="D18" s="134"/>
      <c r="E18" s="134"/>
      <c r="F18" s="134"/>
      <c r="G18" s="134"/>
      <c r="H18" s="134"/>
      <c r="I18" s="134"/>
      <c r="J18" s="134"/>
      <c r="K18" s="39">
        <f t="shared" si="6"/>
        <v>0</v>
      </c>
      <c r="L18" s="40">
        <f t="shared" si="6"/>
        <v>0</v>
      </c>
      <c r="M18" s="39">
        <f t="shared" si="6"/>
        <v>0</v>
      </c>
    </row>
    <row r="19" spans="1:21" hidden="1" x14ac:dyDescent="0.25">
      <c r="A19" s="47" t="s">
        <v>82</v>
      </c>
      <c r="B19" s="173"/>
      <c r="C19" s="134"/>
      <c r="D19" s="134"/>
      <c r="E19" s="134"/>
      <c r="F19" s="134"/>
      <c r="G19" s="134"/>
      <c r="H19" s="134"/>
      <c r="I19" s="134"/>
      <c r="J19" s="134"/>
      <c r="K19" s="39">
        <f t="shared" si="6"/>
        <v>0</v>
      </c>
      <c r="L19" s="40">
        <f t="shared" si="6"/>
        <v>0</v>
      </c>
      <c r="M19" s="39">
        <f t="shared" si="6"/>
        <v>0</v>
      </c>
      <c r="S19" s="35"/>
    </row>
    <row r="20" spans="1:21" hidden="1" x14ac:dyDescent="0.25">
      <c r="A20" s="29" t="s">
        <v>86</v>
      </c>
      <c r="B20" s="41">
        <f>+B19</f>
        <v>0</v>
      </c>
      <c r="C20" s="41">
        <f>+C19</f>
        <v>0</v>
      </c>
      <c r="D20" s="41">
        <f>+SUM(D17:D19)</f>
        <v>0</v>
      </c>
      <c r="E20" s="41">
        <f>+E19</f>
        <v>0</v>
      </c>
      <c r="F20" s="41">
        <f>+F19</f>
        <v>0</v>
      </c>
      <c r="G20" s="41">
        <f>+SUM(G17:G19)</f>
        <v>0</v>
      </c>
      <c r="H20" s="41">
        <f>+H19</f>
        <v>0</v>
      </c>
      <c r="I20" s="41">
        <f>+I19</f>
        <v>0</v>
      </c>
      <c r="J20" s="41">
        <f>+SUM(J17:J19)</f>
        <v>0</v>
      </c>
      <c r="K20" s="41">
        <f>+K19</f>
        <v>0</v>
      </c>
      <c r="L20" s="42">
        <f>+L19</f>
        <v>0</v>
      </c>
      <c r="M20" s="41">
        <f>+SUM(M17:M19)</f>
        <v>0</v>
      </c>
    </row>
    <row r="21" spans="1:21" hidden="1" x14ac:dyDescent="0.25">
      <c r="A21" s="47" t="s">
        <v>83</v>
      </c>
      <c r="B21" s="173"/>
      <c r="C21" s="134"/>
      <c r="D21" s="134"/>
      <c r="E21" s="134"/>
      <c r="F21" s="134"/>
      <c r="G21" s="134"/>
      <c r="H21" s="134"/>
      <c r="I21" s="134"/>
      <c r="J21" s="134"/>
      <c r="K21" s="39">
        <f t="shared" ref="K21:M24" si="7">+B21+H21+E21</f>
        <v>0</v>
      </c>
      <c r="L21" s="40">
        <f t="shared" si="7"/>
        <v>0</v>
      </c>
      <c r="M21" s="39">
        <f t="shared" si="7"/>
        <v>0</v>
      </c>
    </row>
    <row r="22" spans="1:21" hidden="1" x14ac:dyDescent="0.25">
      <c r="A22" s="47" t="s">
        <v>84</v>
      </c>
      <c r="B22" s="173"/>
      <c r="C22" s="174"/>
      <c r="D22" s="134"/>
      <c r="E22" s="134"/>
      <c r="F22" s="134"/>
      <c r="G22" s="134"/>
      <c r="H22" s="134"/>
      <c r="I22" s="134"/>
      <c r="J22" s="134"/>
      <c r="K22" s="39">
        <f t="shared" si="7"/>
        <v>0</v>
      </c>
      <c r="L22" s="40">
        <f t="shared" si="7"/>
        <v>0</v>
      </c>
      <c r="M22" s="39">
        <f t="shared" si="7"/>
        <v>0</v>
      </c>
    </row>
    <row r="23" spans="1:21" hidden="1" x14ac:dyDescent="0.25">
      <c r="A23" s="47" t="s">
        <v>85</v>
      </c>
      <c r="B23" s="173"/>
      <c r="C23" s="134"/>
      <c r="D23" s="134"/>
      <c r="E23" s="134"/>
      <c r="F23" s="134"/>
      <c r="G23" s="134"/>
      <c r="H23" s="134"/>
      <c r="I23" s="134"/>
      <c r="J23" s="134"/>
      <c r="K23" s="39">
        <f t="shared" si="7"/>
        <v>0</v>
      </c>
      <c r="L23" s="40">
        <f t="shared" si="7"/>
        <v>0</v>
      </c>
      <c r="M23" s="39">
        <f t="shared" si="7"/>
        <v>0</v>
      </c>
      <c r="S23" s="35"/>
    </row>
    <row r="24" spans="1:21" hidden="1" x14ac:dyDescent="0.25">
      <c r="A24" s="47" t="s">
        <v>119</v>
      </c>
      <c r="B24" s="173"/>
      <c r="C24" s="134"/>
      <c r="D24" s="134"/>
      <c r="E24" s="134"/>
      <c r="F24" s="134"/>
      <c r="G24" s="134"/>
      <c r="H24" s="134"/>
      <c r="I24" s="134"/>
      <c r="J24" s="134"/>
      <c r="K24" s="39">
        <f t="shared" si="7"/>
        <v>0</v>
      </c>
      <c r="L24" s="40">
        <f t="shared" si="7"/>
        <v>0</v>
      </c>
      <c r="M24" s="39">
        <f t="shared" si="7"/>
        <v>0</v>
      </c>
    </row>
    <row r="25" spans="1:21" hidden="1" x14ac:dyDescent="0.25">
      <c r="A25" s="29" t="s">
        <v>87</v>
      </c>
      <c r="B25" s="41">
        <f>+B24</f>
        <v>0</v>
      </c>
      <c r="C25" s="41">
        <f>+C24</f>
        <v>0</v>
      </c>
      <c r="D25" s="41">
        <f>+SUM(D21:D24)</f>
        <v>0</v>
      </c>
      <c r="E25" s="41">
        <f>+E24</f>
        <v>0</v>
      </c>
      <c r="F25" s="41">
        <f>+F24</f>
        <v>0</v>
      </c>
      <c r="G25" s="41">
        <f>+SUM(G21:G24)</f>
        <v>0</v>
      </c>
      <c r="H25" s="41">
        <f>+H24</f>
        <v>0</v>
      </c>
      <c r="I25" s="41">
        <f>+I24</f>
        <v>0</v>
      </c>
      <c r="J25" s="41">
        <f>+SUM(J21:J24)</f>
        <v>0</v>
      </c>
      <c r="K25" s="41">
        <f>+K24</f>
        <v>0</v>
      </c>
      <c r="L25" s="42">
        <f>+L24</f>
        <v>0</v>
      </c>
      <c r="M25" s="41">
        <f>+SUM(M21:M24)</f>
        <v>0</v>
      </c>
    </row>
    <row r="26" spans="1:21" hidden="1" x14ac:dyDescent="0.25">
      <c r="A26" s="30" t="s">
        <v>9</v>
      </c>
      <c r="B26" s="43">
        <f>+B25</f>
        <v>0</v>
      </c>
      <c r="C26" s="43">
        <f>+C25</f>
        <v>0</v>
      </c>
      <c r="D26" s="43">
        <f>+D12+D16+D20+D25</f>
        <v>12211775276.52</v>
      </c>
      <c r="E26" s="43">
        <f>+E25</f>
        <v>0</v>
      </c>
      <c r="F26" s="43">
        <f>+F25</f>
        <v>0</v>
      </c>
      <c r="G26" s="43">
        <f>+G12+G16+G20+G25</f>
        <v>687336000</v>
      </c>
      <c r="H26" s="43">
        <f>+H25</f>
        <v>0</v>
      </c>
      <c r="I26" s="43">
        <f>+I25</f>
        <v>0</v>
      </c>
      <c r="J26" s="43">
        <f>+J12+J16+J20+J25</f>
        <v>3572285933.1199999</v>
      </c>
      <c r="K26" s="43">
        <f>+K25</f>
        <v>0</v>
      </c>
      <c r="L26" s="44">
        <f>+L25</f>
        <v>0</v>
      </c>
      <c r="M26" s="43">
        <f>+M12+M16+M20+M25</f>
        <v>16471397209.639999</v>
      </c>
    </row>
    <row r="27" spans="1:21" hidden="1" x14ac:dyDescent="0.25">
      <c r="A27" s="141" t="s">
        <v>87</v>
      </c>
      <c r="B27" s="175"/>
      <c r="C27" s="175"/>
      <c r="D27" s="176">
        <f>+D12/M12</f>
        <v>0.74139279874648245</v>
      </c>
      <c r="E27" s="177"/>
      <c r="F27" s="177"/>
      <c r="G27" s="176">
        <f>+G12/M12</f>
        <v>4.1729064708471229E-2</v>
      </c>
      <c r="H27" s="177"/>
      <c r="I27" s="177"/>
      <c r="J27" s="176">
        <f>+J12/M12</f>
        <v>0.2168781365450464</v>
      </c>
      <c r="K27" s="175"/>
      <c r="L27" s="175"/>
      <c r="M27" s="175"/>
      <c r="R27" s="37"/>
    </row>
    <row r="28" spans="1:21" x14ac:dyDescent="0.25">
      <c r="A28" s="150" t="s">
        <v>164</v>
      </c>
      <c r="B28" s="141"/>
      <c r="C28" s="141"/>
      <c r="D28" s="239">
        <f>+D12/M12</f>
        <v>0.74139279874648245</v>
      </c>
      <c r="E28" s="141"/>
      <c r="F28" s="141"/>
      <c r="G28" s="239">
        <f>+G12/$M$12</f>
        <v>4.1729064708471229E-2</v>
      </c>
      <c r="H28" s="141"/>
      <c r="I28" s="141"/>
      <c r="J28" s="239">
        <f>+J12/$M$12</f>
        <v>0.2168781365450464</v>
      </c>
      <c r="K28" s="178"/>
      <c r="L28" s="141"/>
      <c r="M28" s="202"/>
      <c r="Q28" s="88" t="s">
        <v>138</v>
      </c>
      <c r="R28" s="88"/>
      <c r="S28" s="89"/>
    </row>
    <row r="29" spans="1:21" x14ac:dyDescent="0.25">
      <c r="A29" s="271"/>
      <c r="B29" s="269"/>
      <c r="C29" s="141"/>
      <c r="D29" s="141"/>
      <c r="E29" s="141"/>
      <c r="F29" s="141"/>
      <c r="G29" s="141"/>
      <c r="H29" s="141"/>
      <c r="I29" s="141"/>
      <c r="J29" s="159"/>
      <c r="K29" s="141"/>
      <c r="L29" s="141"/>
      <c r="M29" s="141"/>
      <c r="P29" s="1" t="s">
        <v>136</v>
      </c>
      <c r="Q29" s="36" t="s">
        <v>135</v>
      </c>
      <c r="R29" s="80" t="s">
        <v>18</v>
      </c>
      <c r="S29" s="87" t="s">
        <v>141</v>
      </c>
      <c r="T29" s="80" t="s">
        <v>135</v>
      </c>
      <c r="U29" s="1" t="s">
        <v>18</v>
      </c>
    </row>
    <row r="30" spans="1:2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Q30" s="78"/>
      <c r="R30" s="38"/>
      <c r="S30" s="79">
        <v>145883</v>
      </c>
      <c r="T30" s="14">
        <v>158341</v>
      </c>
      <c r="U30" s="14">
        <v>6070129138.6299992</v>
      </c>
    </row>
    <row r="31" spans="1:2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86"/>
      <c r="R31" s="86"/>
      <c r="S31" s="37">
        <f>+K12-S30</f>
        <v>24464</v>
      </c>
      <c r="T31" s="37">
        <f>+L12-T30</f>
        <v>24542</v>
      </c>
      <c r="U31" s="37">
        <f>+M12-U30</f>
        <v>2165569466.1900005</v>
      </c>
    </row>
    <row r="32" spans="1:2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R32" s="38"/>
    </row>
    <row r="33" spans="1:2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2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S34" s="93">
        <f>+(K12-S30)/S30</f>
        <v>0.1676960303805104</v>
      </c>
      <c r="T34" s="93">
        <f>+(L12-T30)/T30</f>
        <v>0.15499460026146103</v>
      </c>
      <c r="U34" s="93">
        <f>+(M12-U30)/U30</f>
        <v>0.35675838466243237</v>
      </c>
    </row>
    <row r="35" spans="1:2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2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2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S37" s="1" t="s">
        <v>209</v>
      </c>
    </row>
    <row r="38" spans="1:21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S38" s="132" t="s">
        <v>141</v>
      </c>
      <c r="T38" s="132" t="s">
        <v>135</v>
      </c>
      <c r="U38" s="132" t="s">
        <v>18</v>
      </c>
    </row>
    <row r="39" spans="1:2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S39" s="132">
        <v>139458</v>
      </c>
      <c r="T39" s="132">
        <v>151810</v>
      </c>
      <c r="U39" s="132">
        <v>5844095640.5</v>
      </c>
    </row>
    <row r="40" spans="1:21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S40" s="132">
        <f>K12-S39</f>
        <v>30889</v>
      </c>
      <c r="T40" s="132">
        <f t="shared" ref="T40:U40" si="8">L12-T39</f>
        <v>31073</v>
      </c>
      <c r="U40" s="132">
        <f t="shared" si="8"/>
        <v>2391602964.3199997</v>
      </c>
    </row>
    <row r="41" spans="1:2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S41" s="132"/>
      <c r="T41" s="132"/>
      <c r="U41" s="132"/>
    </row>
    <row r="42" spans="1:21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S42" s="132"/>
      <c r="T42" s="132"/>
      <c r="U42" s="132"/>
    </row>
    <row r="43" spans="1:21" x14ac:dyDescent="0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S43" s="93">
        <f>+(K12-S39)/S39</f>
        <v>0.22149320942505987</v>
      </c>
      <c r="T43" s="93">
        <f t="shared" ref="T43:U43" si="9">+(L12-T39)/T39</f>
        <v>0.20468348593636781</v>
      </c>
      <c r="U43" s="93">
        <f t="shared" si="9"/>
        <v>0.40923405629196424</v>
      </c>
    </row>
    <row r="44" spans="1:21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21" x14ac:dyDescent="0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1:2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7" spans="1:21" x14ac:dyDescent="0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</row>
    <row r="48" spans="1:21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x14ac:dyDescent="0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13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x14ac:dyDescent="0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1:13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1:13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</row>
    <row r="55" spans="1:13" x14ac:dyDescent="0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</row>
    <row r="56" spans="1:13" x14ac:dyDescent="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</row>
    <row r="57" spans="1:13" x14ac:dyDescent="0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</row>
    <row r="58" spans="1:13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x14ac:dyDescent="0.2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5" spans="2:14" x14ac:dyDescent="0.25">
      <c r="B65" s="47"/>
      <c r="C65" s="173"/>
      <c r="D65" s="134"/>
      <c r="E65" s="134"/>
      <c r="F65" s="134"/>
      <c r="G65" s="134"/>
      <c r="H65" s="134"/>
      <c r="I65" s="134"/>
      <c r="J65" s="134"/>
      <c r="K65" s="134"/>
      <c r="L65" s="39"/>
      <c r="M65" s="40"/>
      <c r="N65" s="39"/>
    </row>
    <row r="67" spans="2:14" x14ac:dyDescent="0.25">
      <c r="B67" s="47"/>
      <c r="C67" s="173"/>
      <c r="D67" s="134"/>
      <c r="E67" s="134"/>
      <c r="F67" s="134"/>
      <c r="G67" s="134"/>
      <c r="H67" s="134"/>
      <c r="I67" s="134"/>
      <c r="J67" s="134"/>
      <c r="K67" s="134"/>
      <c r="L67" s="39"/>
      <c r="M67" s="40"/>
      <c r="N67" s="138"/>
    </row>
  </sheetData>
  <mergeCells count="10">
    <mergeCell ref="S12:U12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3" orientation="portrait" r:id="rId1"/>
  <colBreaks count="1" manualBreakCount="1">
    <brk id="14" max="1048575" man="1"/>
  </colBreaks>
  <ignoredErrors>
    <ignoredError sqref="K12 L12:M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R38"/>
  <sheetViews>
    <sheetView showGridLines="0" tabSelected="1" zoomScale="115" zoomScaleNormal="115" workbookViewId="0">
      <selection activeCell="C12" sqref="C12"/>
    </sheetView>
  </sheetViews>
  <sheetFormatPr baseColWidth="10" defaultColWidth="11.42578125" defaultRowHeight="15" x14ac:dyDescent="0.25"/>
  <cols>
    <col min="1" max="1" width="12.28515625" style="1" customWidth="1"/>
    <col min="2" max="2" width="10.7109375" style="1" customWidth="1"/>
    <col min="3" max="3" width="10.42578125" style="1" customWidth="1"/>
    <col min="4" max="4" width="10.5703125" style="1" customWidth="1"/>
    <col min="5" max="5" width="9.7109375" style="1" customWidth="1"/>
    <col min="6" max="6" width="9.28515625" style="1" customWidth="1"/>
    <col min="7" max="11" width="10.5703125" style="1" customWidth="1"/>
    <col min="12" max="12" width="17.7109375" style="1" customWidth="1"/>
    <col min="13" max="13" width="14.85546875" style="1" customWidth="1"/>
    <col min="14" max="14" width="10.85546875" style="1" customWidth="1"/>
    <col min="15" max="15" width="16.7109375" style="1" customWidth="1"/>
    <col min="16" max="16" width="13.5703125" style="1" customWidth="1"/>
    <col min="17" max="17" width="11.42578125" style="1" customWidth="1"/>
    <col min="18" max="18" width="17" style="1" customWidth="1"/>
    <col min="19" max="16384" width="11.42578125" style="1"/>
  </cols>
  <sheetData>
    <row r="1" spans="1:18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x14ac:dyDescent="0.25">
      <c r="A2" s="330" t="s">
        <v>113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x14ac:dyDescent="0.25">
      <c r="A3" s="330" t="s">
        <v>219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x14ac:dyDescent="0.25">
      <c r="A4" s="330" t="s">
        <v>239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x14ac:dyDescent="0.25">
      <c r="A5" s="330" t="s">
        <v>218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18" ht="30" customHeight="1" x14ac:dyDescent="0.25">
      <c r="A6" s="292"/>
      <c r="B6" s="351" t="s">
        <v>220</v>
      </c>
      <c r="C6" s="351"/>
      <c r="D6" s="351"/>
      <c r="E6" s="351"/>
      <c r="F6" s="351"/>
      <c r="G6" s="356" t="s">
        <v>249</v>
      </c>
      <c r="H6" s="356"/>
      <c r="I6" s="356"/>
      <c r="J6" s="356"/>
      <c r="K6" s="356"/>
      <c r="L6" s="354" t="s">
        <v>221</v>
      </c>
      <c r="M6" s="354"/>
      <c r="N6" s="355" t="s">
        <v>222</v>
      </c>
      <c r="O6" s="355"/>
      <c r="P6" s="353" t="s">
        <v>15</v>
      </c>
      <c r="Q6" s="353"/>
      <c r="R6" s="292"/>
    </row>
    <row r="7" spans="1:18" ht="24" customHeight="1" x14ac:dyDescent="0.25">
      <c r="A7" s="254" t="s">
        <v>1</v>
      </c>
      <c r="B7" s="254" t="s">
        <v>223</v>
      </c>
      <c r="C7" s="254" t="s">
        <v>224</v>
      </c>
      <c r="D7" s="254" t="s">
        <v>225</v>
      </c>
      <c r="E7" s="254" t="s">
        <v>226</v>
      </c>
      <c r="F7" s="254" t="s">
        <v>227</v>
      </c>
      <c r="G7" s="254" t="s">
        <v>223</v>
      </c>
      <c r="H7" s="254" t="s">
        <v>224</v>
      </c>
      <c r="I7" s="254" t="s">
        <v>225</v>
      </c>
      <c r="J7" s="254" t="s">
        <v>226</v>
      </c>
      <c r="K7" s="254" t="s">
        <v>227</v>
      </c>
      <c r="L7" s="254" t="s">
        <v>223</v>
      </c>
      <c r="M7" s="254" t="s">
        <v>224</v>
      </c>
      <c r="N7" s="254" t="s">
        <v>223</v>
      </c>
      <c r="O7" s="254" t="s">
        <v>18</v>
      </c>
      <c r="P7" s="254" t="s">
        <v>223</v>
      </c>
      <c r="Q7" s="254" t="s">
        <v>224</v>
      </c>
    </row>
    <row r="8" spans="1:18" ht="13.5" customHeight="1" x14ac:dyDescent="0.25">
      <c r="A8" s="306" t="s">
        <v>82</v>
      </c>
      <c r="B8" s="257">
        <v>189</v>
      </c>
      <c r="C8" s="311">
        <v>2060219.57</v>
      </c>
      <c r="D8" s="311">
        <v>205403.89</v>
      </c>
      <c r="E8" s="311">
        <v>61806.58</v>
      </c>
      <c r="F8" s="34">
        <v>1793009.1</v>
      </c>
      <c r="G8" s="311">
        <v>1</v>
      </c>
      <c r="H8" s="311">
        <v>10000</v>
      </c>
      <c r="I8" s="311">
        <v>997</v>
      </c>
      <c r="J8" s="311">
        <v>300</v>
      </c>
      <c r="K8" s="311">
        <v>8703</v>
      </c>
      <c r="L8" s="257">
        <v>487</v>
      </c>
      <c r="M8" s="311">
        <v>7832661.1699999999</v>
      </c>
      <c r="N8" s="257">
        <v>612</v>
      </c>
      <c r="O8" s="311">
        <v>7008536.3099999996</v>
      </c>
      <c r="P8" s="259">
        <f t="shared" ref="P8:Q10" si="0">+L8+N8+B8+G8</f>
        <v>1289</v>
      </c>
      <c r="Q8" s="259">
        <f t="shared" si="0"/>
        <v>16911417.050000001</v>
      </c>
    </row>
    <row r="9" spans="1:18" x14ac:dyDescent="0.25">
      <c r="A9" s="255" t="s">
        <v>81</v>
      </c>
      <c r="B9" s="257">
        <v>185</v>
      </c>
      <c r="C9" s="311">
        <v>2055978.37</v>
      </c>
      <c r="D9" s="311">
        <v>204981.04</v>
      </c>
      <c r="E9" s="311">
        <v>61679.34</v>
      </c>
      <c r="F9" s="34">
        <v>1789317.98</v>
      </c>
      <c r="G9" s="311">
        <v>1</v>
      </c>
      <c r="H9" s="311">
        <v>10000</v>
      </c>
      <c r="I9" s="311">
        <v>997</v>
      </c>
      <c r="J9" s="311">
        <v>300</v>
      </c>
      <c r="K9" s="311">
        <v>8703</v>
      </c>
      <c r="L9" s="257">
        <v>477</v>
      </c>
      <c r="M9" s="311">
        <v>7694087.2599999998</v>
      </c>
      <c r="N9" s="257">
        <v>589</v>
      </c>
      <c r="O9" s="311">
        <v>6682941.3099999996</v>
      </c>
      <c r="P9" s="259">
        <f t="shared" si="0"/>
        <v>1252</v>
      </c>
      <c r="Q9" s="259">
        <f t="shared" si="0"/>
        <v>16443006.940000001</v>
      </c>
    </row>
    <row r="10" spans="1:18" x14ac:dyDescent="0.25">
      <c r="A10" s="255" t="s">
        <v>80</v>
      </c>
      <c r="B10" s="257">
        <v>185</v>
      </c>
      <c r="C10" s="311">
        <v>2050389.37</v>
      </c>
      <c r="D10" s="311">
        <v>204423.82</v>
      </c>
      <c r="E10" s="311">
        <v>61511.67</v>
      </c>
      <c r="F10" s="34">
        <v>1784453.88</v>
      </c>
      <c r="G10" s="311">
        <v>1</v>
      </c>
      <c r="H10" s="311">
        <v>10000</v>
      </c>
      <c r="I10" s="311">
        <v>997</v>
      </c>
      <c r="J10" s="311">
        <v>300</v>
      </c>
      <c r="K10" s="311">
        <v>8703</v>
      </c>
      <c r="L10" s="257">
        <v>469</v>
      </c>
      <c r="M10" s="311">
        <v>7489389.3600000003</v>
      </c>
      <c r="N10" s="257">
        <v>575</v>
      </c>
      <c r="O10" s="311">
        <v>6493404.3099999996</v>
      </c>
      <c r="P10" s="259">
        <f t="shared" si="0"/>
        <v>1230</v>
      </c>
      <c r="Q10" s="259">
        <f t="shared" si="0"/>
        <v>16043183.039999999</v>
      </c>
    </row>
    <row r="11" spans="1:18" x14ac:dyDescent="0.25">
      <c r="A11" s="256" t="s">
        <v>86</v>
      </c>
      <c r="B11" s="258">
        <f>+B8</f>
        <v>189</v>
      </c>
      <c r="C11" s="293">
        <f>+SUM(C8:C10)</f>
        <v>6166587.3100000005</v>
      </c>
      <c r="D11" s="258">
        <f>+SUM(D8:D10)</f>
        <v>614808.75</v>
      </c>
      <c r="E11" s="258">
        <f>+SUM(E8:E10)</f>
        <v>184997.59</v>
      </c>
      <c r="F11" s="258">
        <f>+SUM(F8:F10)</f>
        <v>5366780.96</v>
      </c>
      <c r="G11" s="312">
        <f>+G8</f>
        <v>1</v>
      </c>
      <c r="H11" s="312">
        <f>SUM(H8:H10)</f>
        <v>30000</v>
      </c>
      <c r="I11" s="312">
        <f>SUM(I8:I10)</f>
        <v>2991</v>
      </c>
      <c r="J11" s="312">
        <f>SUM(J8:J10)</f>
        <v>900</v>
      </c>
      <c r="K11" s="312">
        <f>SUM(K8:K10)</f>
        <v>26109</v>
      </c>
      <c r="L11" s="258">
        <f>+L8</f>
        <v>487</v>
      </c>
      <c r="M11" s="258">
        <f>+SUM(M8:M10)</f>
        <v>23016137.789999999</v>
      </c>
      <c r="N11" s="258">
        <f>+N8</f>
        <v>612</v>
      </c>
      <c r="O11" s="258">
        <f>+SUM(O8:O10)</f>
        <v>20184881.93</v>
      </c>
      <c r="P11" s="258">
        <f>+P8</f>
        <v>1289</v>
      </c>
      <c r="Q11" s="258">
        <f>SUM(Q8:Q10)</f>
        <v>49397607.030000001</v>
      </c>
    </row>
    <row r="12" spans="1:18" x14ac:dyDescent="0.25">
      <c r="A12" s="272" t="s">
        <v>229</v>
      </c>
      <c r="C12" s="310">
        <f>+C11/Q11</f>
        <v>0.12483574976121672</v>
      </c>
      <c r="H12" s="309">
        <f>+H11/Q11</f>
        <v>6.0731686823980145E-4</v>
      </c>
      <c r="M12" s="310">
        <f>+M11/Q11</f>
        <v>0.46593629071995146</v>
      </c>
      <c r="O12" s="310">
        <f>+O11/Q11</f>
        <v>0.40862064265059195</v>
      </c>
    </row>
    <row r="13" spans="1:18" x14ac:dyDescent="0.25">
      <c r="P13" s="38"/>
    </row>
    <row r="14" spans="1:18" x14ac:dyDescent="0.25">
      <c r="C14" s="37"/>
      <c r="D14"/>
      <c r="E14"/>
      <c r="F14"/>
      <c r="G14"/>
      <c r="H14"/>
      <c r="I14"/>
      <c r="J14"/>
      <c r="K14"/>
      <c r="L14"/>
      <c r="M14"/>
      <c r="N14"/>
      <c r="O14"/>
      <c r="Q14" s="37"/>
    </row>
    <row r="16" spans="1:18" x14ac:dyDescent="0.25">
      <c r="B16" s="14"/>
    </row>
    <row r="26" spans="1:14" x14ac:dyDescent="0.25">
      <c r="E26" s="260"/>
    </row>
    <row r="29" spans="1:14" ht="4.5" customHeight="1" x14ac:dyDescent="0.25"/>
    <row r="30" spans="1:14" ht="41.25" customHeight="1" x14ac:dyDescent="0.25">
      <c r="A30"/>
      <c r="B30" s="351" t="s">
        <v>233</v>
      </c>
      <c r="C30" s="351"/>
      <c r="D30" s="352" t="s">
        <v>234</v>
      </c>
      <c r="E30" s="352"/>
      <c r="F30" s="356" t="s">
        <v>249</v>
      </c>
      <c r="G30" s="356"/>
      <c r="H30" s="356"/>
      <c r="I30" s="356"/>
      <c r="J30" s="357" t="s">
        <v>235</v>
      </c>
      <c r="K30" s="357"/>
      <c r="L30" s="357"/>
      <c r="M30" s="353" t="s">
        <v>15</v>
      </c>
      <c r="N30" s="353"/>
    </row>
    <row r="31" spans="1:14" ht="38.25" customHeight="1" x14ac:dyDescent="0.25">
      <c r="A31" s="294" t="s">
        <v>1</v>
      </c>
      <c r="B31" s="294" t="s">
        <v>223</v>
      </c>
      <c r="C31" s="294" t="s">
        <v>224</v>
      </c>
      <c r="D31" s="294" t="s">
        <v>223</v>
      </c>
      <c r="E31" s="294" t="s">
        <v>224</v>
      </c>
      <c r="F31" s="349" t="s">
        <v>223</v>
      </c>
      <c r="G31" s="349"/>
      <c r="H31" s="350" t="s">
        <v>224</v>
      </c>
      <c r="I31" s="350"/>
      <c r="J31" s="347" t="s">
        <v>223</v>
      </c>
      <c r="K31" s="347"/>
      <c r="L31" s="294" t="s">
        <v>18</v>
      </c>
      <c r="M31" s="294" t="s">
        <v>223</v>
      </c>
      <c r="N31" s="294" t="s">
        <v>224</v>
      </c>
    </row>
    <row r="32" spans="1:14" x14ac:dyDescent="0.25">
      <c r="A32" s="255" t="s">
        <v>82</v>
      </c>
      <c r="B32" s="257">
        <v>4</v>
      </c>
      <c r="C32" s="34">
        <v>731887</v>
      </c>
      <c r="D32" s="257">
        <v>16</v>
      </c>
      <c r="E32" s="34">
        <v>2617158</v>
      </c>
      <c r="F32" s="346">
        <v>0</v>
      </c>
      <c r="G32" s="346"/>
      <c r="H32" s="346">
        <v>0</v>
      </c>
      <c r="I32" s="346"/>
      <c r="J32" s="346">
        <v>25</v>
      </c>
      <c r="K32" s="346"/>
      <c r="L32" s="305">
        <v>4404563</v>
      </c>
      <c r="M32" s="259">
        <f>+D32+J32+B32+F32</f>
        <v>45</v>
      </c>
      <c r="N32" s="259">
        <f>+E32+L32+C32+H32</f>
        <v>7753608</v>
      </c>
    </row>
    <row r="33" spans="1:14" x14ac:dyDescent="0.25">
      <c r="A33" s="255" t="s">
        <v>81</v>
      </c>
      <c r="B33" s="257">
        <v>1</v>
      </c>
      <c r="C33" s="34">
        <v>264386</v>
      </c>
      <c r="D33" s="257">
        <v>10</v>
      </c>
      <c r="E33" s="34">
        <v>2684432</v>
      </c>
      <c r="F33" s="346">
        <v>0</v>
      </c>
      <c r="G33" s="346"/>
      <c r="H33" s="346">
        <v>0</v>
      </c>
      <c r="I33" s="346"/>
      <c r="J33" s="346">
        <v>16</v>
      </c>
      <c r="K33" s="346"/>
      <c r="L33" s="305">
        <v>3547539.7</v>
      </c>
      <c r="M33" s="259">
        <f t="shared" ref="M33:M34" si="1">+D33+J33+B33+F33</f>
        <v>27</v>
      </c>
      <c r="N33" s="259">
        <f t="shared" ref="N33:N34" si="2">+E33+L33+C33+H33</f>
        <v>6496357.7000000002</v>
      </c>
    </row>
    <row r="34" spans="1:14" x14ac:dyDescent="0.25">
      <c r="A34" s="255" t="s">
        <v>80</v>
      </c>
      <c r="B34" s="257">
        <v>1</v>
      </c>
      <c r="C34" s="34">
        <v>139764</v>
      </c>
      <c r="D34" s="257">
        <v>19</v>
      </c>
      <c r="E34" s="34">
        <v>3678487</v>
      </c>
      <c r="F34" s="346">
        <v>1</v>
      </c>
      <c r="G34" s="346"/>
      <c r="H34" s="346">
        <v>143416</v>
      </c>
      <c r="I34" s="346"/>
      <c r="J34" s="346">
        <v>490</v>
      </c>
      <c r="K34" s="346"/>
      <c r="L34" s="305">
        <v>96694222.900000006</v>
      </c>
      <c r="M34" s="259">
        <f t="shared" si="1"/>
        <v>511</v>
      </c>
      <c r="N34" s="259">
        <f t="shared" si="2"/>
        <v>100655889.90000001</v>
      </c>
    </row>
    <row r="35" spans="1:14" x14ac:dyDescent="0.25">
      <c r="A35" s="256" t="s">
        <v>86</v>
      </c>
      <c r="B35" s="258">
        <f>SUM(B32:B34)</f>
        <v>6</v>
      </c>
      <c r="C35" s="258">
        <f>+SUM(C32:C34)</f>
        <v>1136037</v>
      </c>
      <c r="D35" s="258">
        <f>SUM(D32:D34)</f>
        <v>45</v>
      </c>
      <c r="E35" s="258">
        <f>+SUM(E32:E34)</f>
        <v>8980077</v>
      </c>
      <c r="F35" s="348">
        <f>SUM(F32:F34)</f>
        <v>1</v>
      </c>
      <c r="G35" s="348"/>
      <c r="H35" s="348">
        <f>SUM(H32:H34)</f>
        <v>143416</v>
      </c>
      <c r="I35" s="348"/>
      <c r="J35" s="348">
        <f>SUM(J32:J34)</f>
        <v>531</v>
      </c>
      <c r="K35" s="348"/>
      <c r="L35" s="258">
        <f>+SUM(L32:L34)</f>
        <v>104646325.60000001</v>
      </c>
      <c r="M35" s="258">
        <f>SUM(M32:M34)</f>
        <v>583</v>
      </c>
      <c r="N35" s="258">
        <f>SUM(N32:N34)</f>
        <v>114905855.60000001</v>
      </c>
    </row>
    <row r="36" spans="1:14" x14ac:dyDescent="0.25">
      <c r="A36" s="272" t="s">
        <v>236</v>
      </c>
    </row>
    <row r="38" spans="1:14" ht="15" customHeight="1" x14ac:dyDescent="0.25"/>
  </sheetData>
  <mergeCells count="30">
    <mergeCell ref="B30:C30"/>
    <mergeCell ref="D30:E30"/>
    <mergeCell ref="M30:N30"/>
    <mergeCell ref="A1:R1"/>
    <mergeCell ref="A2:R2"/>
    <mergeCell ref="A3:R3"/>
    <mergeCell ref="A4:R4"/>
    <mergeCell ref="A5:R5"/>
    <mergeCell ref="B6:F6"/>
    <mergeCell ref="L6:M6"/>
    <mergeCell ref="N6:O6"/>
    <mergeCell ref="P6:Q6"/>
    <mergeCell ref="G6:K6"/>
    <mergeCell ref="J30:L30"/>
    <mergeCell ref="F30:I30"/>
    <mergeCell ref="F31:G31"/>
    <mergeCell ref="H31:I31"/>
    <mergeCell ref="F32:G32"/>
    <mergeCell ref="F35:G35"/>
    <mergeCell ref="H35:I35"/>
    <mergeCell ref="F33:G33"/>
    <mergeCell ref="F34:G34"/>
    <mergeCell ref="H32:I32"/>
    <mergeCell ref="H33:I33"/>
    <mergeCell ref="H34:I34"/>
    <mergeCell ref="J32:K32"/>
    <mergeCell ref="J31:K31"/>
    <mergeCell ref="J33:K33"/>
    <mergeCell ref="J34:K34"/>
    <mergeCell ref="J35:K35"/>
  </mergeCells>
  <pageMargins left="0.7" right="0.7" top="0.75" bottom="0.75" header="0.3" footer="0.3"/>
  <pageSetup paperSize="9" scale="50" orientation="landscape" r:id="rId1"/>
  <ignoredErrors>
    <ignoredError sqref="N35 B11 D11 E11:L11 N11 P8:P11 Q8:Q11" unlockedFormula="1"/>
    <ignoredError sqref="M11" formula="1"/>
    <ignoredError sqref="O11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Autoseguro</vt:lpstr>
      <vt:lpstr>Movimientos</vt:lpstr>
      <vt:lpstr>Hoja1</vt:lpstr>
      <vt:lpstr>Tipo de Pension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Autoseguro!Área_de_impresión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Roa</dc:creator>
  <cp:lastModifiedBy>Isabel Jaquez Adames</cp:lastModifiedBy>
  <cp:lastPrinted>2022-04-08T16:04:15Z</cp:lastPrinted>
  <dcterms:created xsi:type="dcterms:W3CDTF">2019-06-03T16:17:46Z</dcterms:created>
  <dcterms:modified xsi:type="dcterms:W3CDTF">2022-10-27T13:11:23Z</dcterms:modified>
</cp:coreProperties>
</file>