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harts/chart2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7. Estadísticas\Boletín Estadistíco 2022\T1\"/>
    </mc:Choice>
  </mc:AlternateContent>
  <bookViews>
    <workbookView xWindow="-120" yWindow="-120" windowWidth="29040" windowHeight="15840" tabRatio="990"/>
  </bookViews>
  <sheets>
    <sheet name="Presupuesto Adm." sheetId="1" r:id="rId1"/>
    <sheet name="Afiliados y Cotizantes" sheetId="21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Autoseguro" sheetId="22" r:id="rId9"/>
    <sheet name="Movimientos" sheetId="9" r:id="rId10"/>
    <sheet name="Hoja1" sheetId="18" state="hidden" r:id="rId11"/>
    <sheet name="Tipo de Pension" sheetId="12" r:id="rId12"/>
    <sheet name="Modalidad" sheetId="10" r:id="rId13"/>
    <sheet name="Retroactivos" sheetId="11" r:id="rId14"/>
    <sheet name="Reintegros" sheetId="16" state="hidden" r:id="rId15"/>
    <sheet name="Créditos Rechazados" sheetId="17" state="hidden" r:id="rId16"/>
    <sheet name="Recuperación Fondos" sheetId="15" r:id="rId17"/>
    <sheet name="Servicios" sheetId="13" r:id="rId18"/>
  </sheets>
  <externalReferences>
    <externalReference r:id="rId19"/>
  </externalReferences>
  <definedNames>
    <definedName name="_xlnm.Print_Area" localSheetId="1">'Afiliados y Cotizantes'!$A$1:$N$57</definedName>
    <definedName name="_xlnm.Print_Area" localSheetId="4">Aportes!$A$1:$D$39</definedName>
    <definedName name="_xlnm.Print_Area" localSheetId="8">Autoseguro!$A$1:$M$62</definedName>
    <definedName name="_xlnm.Print_Area" localSheetId="2">Cotizantes!$A$1:$K$39</definedName>
    <definedName name="_xlnm.Print_Area" localSheetId="12">Modalidad!$A$1:$Q$44</definedName>
    <definedName name="_xlnm.Print_Area" localSheetId="9">Movimientos!$A$1:$M$40</definedName>
    <definedName name="_xlnm.Print_Area" localSheetId="7">Nómina!$A$1:$O$57</definedName>
    <definedName name="_xlnm.Print_Area" localSheetId="6">'Presupuesto de Pensiones'!$A$1:$H$51</definedName>
    <definedName name="_xlnm.Print_Area" localSheetId="16">'Recuperación Fondos'!$A$1:$G$56</definedName>
    <definedName name="_xlnm.Print_Area" localSheetId="13">Retroactivos!$A$1:$M$44</definedName>
    <definedName name="_xlnm.Print_Area" localSheetId="17">Servicios!$A$1:$W$53</definedName>
    <definedName name="_xlnm.Print_Area" localSheetId="11">'Tipo de Pension'!$A$1:$AH$70</definedName>
    <definedName name="_xlnm.Print_Area" localSheetId="5">Traspaso!$A$1:$C$41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2" l="1"/>
  <c r="G61" i="12"/>
  <c r="G59" i="12"/>
  <c r="M40" i="13" l="1"/>
  <c r="M41" i="13"/>
  <c r="M42" i="13"/>
  <c r="M43" i="13"/>
  <c r="M44" i="13"/>
  <c r="M45" i="13"/>
  <c r="M46" i="13"/>
  <c r="M47" i="13"/>
  <c r="M48" i="13"/>
  <c r="M49" i="13"/>
  <c r="M39" i="13"/>
  <c r="L40" i="13"/>
  <c r="L41" i="13"/>
  <c r="L42" i="13"/>
  <c r="L43" i="13"/>
  <c r="L44" i="13"/>
  <c r="L45" i="13"/>
  <c r="L46" i="13"/>
  <c r="L47" i="13"/>
  <c r="L48" i="13"/>
  <c r="L49" i="13"/>
  <c r="L39" i="13"/>
  <c r="K43" i="13"/>
  <c r="H43" i="13"/>
  <c r="E43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11" i="13"/>
  <c r="K23" i="13"/>
  <c r="K19" i="13"/>
  <c r="K15" i="13"/>
  <c r="H23" i="13"/>
  <c r="H19" i="13"/>
  <c r="H15" i="13"/>
  <c r="E23" i="13"/>
  <c r="E19" i="13"/>
  <c r="E15" i="13" l="1"/>
  <c r="E11" i="13"/>
  <c r="H11" i="13"/>
  <c r="E12" i="13"/>
  <c r="H12" i="13"/>
  <c r="E13" i="13"/>
  <c r="H13" i="13"/>
  <c r="E14" i="13"/>
  <c r="H14" i="13"/>
  <c r="E16" i="13"/>
  <c r="H16" i="13"/>
  <c r="E17" i="13"/>
  <c r="H17" i="13"/>
  <c r="E18" i="13"/>
  <c r="H18" i="13"/>
  <c r="E20" i="13"/>
  <c r="H20" i="13"/>
  <c r="E21" i="13"/>
  <c r="H21" i="13"/>
  <c r="E22" i="13"/>
  <c r="H22" i="13"/>
  <c r="E24" i="13"/>
  <c r="H24" i="13"/>
  <c r="E25" i="13"/>
  <c r="H25" i="13"/>
  <c r="E26" i="13"/>
  <c r="H26" i="13"/>
  <c r="E27" i="13"/>
  <c r="H27" i="13"/>
  <c r="E28" i="13"/>
  <c r="H28" i="13"/>
  <c r="E29" i="13"/>
  <c r="H29" i="13"/>
  <c r="D45" i="12"/>
  <c r="H45" i="12"/>
  <c r="E12" i="9" l="1"/>
  <c r="G35" i="22"/>
  <c r="F35" i="22"/>
  <c r="E35" i="22"/>
  <c r="D35" i="22"/>
  <c r="C35" i="22"/>
  <c r="B35" i="22"/>
  <c r="I34" i="22"/>
  <c r="H34" i="22"/>
  <c r="H35" i="22" s="1"/>
  <c r="I33" i="22"/>
  <c r="H33" i="22"/>
  <c r="I32" i="22"/>
  <c r="H32" i="22"/>
  <c r="J11" i="22"/>
  <c r="I11" i="22"/>
  <c r="H11" i="22"/>
  <c r="G11" i="22"/>
  <c r="F11" i="22"/>
  <c r="E11" i="22"/>
  <c r="D11" i="22"/>
  <c r="C11" i="22"/>
  <c r="B11" i="22"/>
  <c r="L10" i="22"/>
  <c r="K10" i="22"/>
  <c r="L9" i="22"/>
  <c r="K9" i="22"/>
  <c r="L8" i="22"/>
  <c r="K8" i="22"/>
  <c r="K11" i="22" s="1"/>
  <c r="I35" i="22" l="1"/>
  <c r="L11" i="22"/>
  <c r="C12" i="22" s="1"/>
  <c r="H12" i="22"/>
  <c r="J12" i="22" l="1"/>
  <c r="D11" i="6"/>
  <c r="D7" i="21"/>
  <c r="F7" i="21"/>
  <c r="D8" i="21"/>
  <c r="F8" i="21"/>
  <c r="D9" i="21"/>
  <c r="F9" i="21"/>
  <c r="B10" i="21"/>
  <c r="B23" i="21" s="1"/>
  <c r="F23" i="21" s="1"/>
  <c r="C10" i="21"/>
  <c r="C23" i="21" s="1"/>
  <c r="D23" i="21" s="1"/>
  <c r="D10" i="21"/>
  <c r="E10" i="21"/>
  <c r="F10" i="21"/>
  <c r="G10" i="21"/>
  <c r="D11" i="21"/>
  <c r="F11" i="21"/>
  <c r="D12" i="21"/>
  <c r="F12" i="21"/>
  <c r="D13" i="21"/>
  <c r="F13" i="21"/>
  <c r="B14" i="21"/>
  <c r="C14" i="21"/>
  <c r="D14" i="21"/>
  <c r="E14" i="21"/>
  <c r="F14" i="21"/>
  <c r="D15" i="21"/>
  <c r="F15" i="21"/>
  <c r="D16" i="21"/>
  <c r="F16" i="21"/>
  <c r="D17" i="21"/>
  <c r="F17" i="21"/>
  <c r="B18" i="21"/>
  <c r="C18" i="21"/>
  <c r="D18" i="21"/>
  <c r="E18" i="21"/>
  <c r="F18" i="21" s="1"/>
  <c r="D19" i="21"/>
  <c r="F19" i="21"/>
  <c r="D20" i="21"/>
  <c r="F20" i="21"/>
  <c r="D21" i="21"/>
  <c r="F21" i="21"/>
  <c r="B22" i="21"/>
  <c r="D22" i="21" s="1"/>
  <c r="C22" i="21"/>
  <c r="E22" i="21"/>
  <c r="F22" i="21" s="1"/>
  <c r="E23" i="21"/>
  <c r="M30" i="13" l="1"/>
  <c r="F7" i="15"/>
  <c r="C14" i="2" l="1"/>
  <c r="L33" i="12" l="1"/>
  <c r="M56" i="12"/>
  <c r="M57" i="12"/>
  <c r="M58" i="12"/>
  <c r="M59" i="12"/>
  <c r="M60" i="12"/>
  <c r="M61" i="12"/>
  <c r="M62" i="12"/>
  <c r="M63" i="12"/>
  <c r="M64" i="12"/>
  <c r="M55" i="12"/>
  <c r="L56" i="12"/>
  <c r="L57" i="12"/>
  <c r="L58" i="12"/>
  <c r="L59" i="12"/>
  <c r="L60" i="12"/>
  <c r="L61" i="12"/>
  <c r="L62" i="12"/>
  <c r="L63" i="12"/>
  <c r="L64" i="12"/>
  <c r="L55" i="12"/>
  <c r="K56" i="12"/>
  <c r="K57" i="12"/>
  <c r="K58" i="12"/>
  <c r="K59" i="12"/>
  <c r="K60" i="12"/>
  <c r="K61" i="12"/>
  <c r="K62" i="12"/>
  <c r="K63" i="12"/>
  <c r="K64" i="12"/>
  <c r="K55" i="12"/>
  <c r="J56" i="12"/>
  <c r="J57" i="12"/>
  <c r="J58" i="12"/>
  <c r="J59" i="12"/>
  <c r="J60" i="12"/>
  <c r="J61" i="12"/>
  <c r="J62" i="12"/>
  <c r="J63" i="12"/>
  <c r="J64" i="12"/>
  <c r="J55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32" i="12"/>
  <c r="L34" i="12"/>
  <c r="L35" i="12"/>
  <c r="L36" i="12"/>
  <c r="L37" i="12"/>
  <c r="L38" i="12"/>
  <c r="L39" i="12"/>
  <c r="L40" i="12"/>
  <c r="L41" i="12"/>
  <c r="L42" i="12"/>
  <c r="L43" i="12"/>
  <c r="L44" i="12"/>
  <c r="L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32" i="12"/>
  <c r="J9" i="12"/>
  <c r="K9" i="12"/>
  <c r="L9" i="12"/>
  <c r="M9" i="12"/>
  <c r="B45" i="12"/>
  <c r="E33" i="12"/>
  <c r="F45" i="12"/>
  <c r="I34" i="12"/>
  <c r="L14" i="12"/>
  <c r="C38" i="12" l="1"/>
  <c r="C33" i="12"/>
  <c r="C34" i="12"/>
  <c r="C40" i="12"/>
  <c r="C42" i="12"/>
  <c r="C44" i="12"/>
  <c r="C39" i="12"/>
  <c r="C32" i="12"/>
  <c r="C35" i="12"/>
  <c r="C41" i="12"/>
  <c r="C43" i="12"/>
  <c r="C36" i="12"/>
  <c r="C37" i="12"/>
  <c r="K45" i="12"/>
  <c r="L45" i="12"/>
  <c r="J45" i="12"/>
  <c r="M45" i="12"/>
  <c r="G40" i="12"/>
  <c r="G37" i="12"/>
  <c r="G43" i="12"/>
  <c r="G34" i="12"/>
  <c r="E40" i="12"/>
  <c r="E37" i="12"/>
  <c r="E34" i="12"/>
  <c r="E44" i="12"/>
  <c r="E35" i="12"/>
  <c r="E43" i="12"/>
  <c r="E38" i="12"/>
  <c r="E41" i="12"/>
  <c r="E32" i="12"/>
  <c r="I44" i="12"/>
  <c r="I41" i="12"/>
  <c r="I38" i="12"/>
  <c r="I35" i="12"/>
  <c r="I32" i="12"/>
  <c r="G44" i="12"/>
  <c r="G41" i="12"/>
  <c r="G38" i="12"/>
  <c r="G35" i="12"/>
  <c r="G32" i="12"/>
  <c r="I42" i="12"/>
  <c r="I39" i="12"/>
  <c r="I36" i="12"/>
  <c r="I33" i="12"/>
  <c r="G42" i="12"/>
  <c r="G39" i="12"/>
  <c r="G36" i="12"/>
  <c r="G33" i="12"/>
  <c r="I43" i="12"/>
  <c r="E42" i="12"/>
  <c r="I40" i="12"/>
  <c r="E39" i="12"/>
  <c r="I37" i="12"/>
  <c r="E36" i="12"/>
  <c r="E45" i="12" l="1"/>
  <c r="C45" i="12"/>
  <c r="G45" i="12"/>
  <c r="I45" i="12"/>
  <c r="M10" i="12" l="1"/>
  <c r="M11" i="12"/>
  <c r="M12" i="12"/>
  <c r="M13" i="12"/>
  <c r="M14" i="12"/>
  <c r="M15" i="12"/>
  <c r="M16" i="12"/>
  <c r="M17" i="12"/>
  <c r="L10" i="12"/>
  <c r="L11" i="12"/>
  <c r="L12" i="12"/>
  <c r="L13" i="12"/>
  <c r="L15" i="12"/>
  <c r="L16" i="12"/>
  <c r="L17" i="12"/>
  <c r="K10" i="12"/>
  <c r="K11" i="12"/>
  <c r="K12" i="12"/>
  <c r="K13" i="12"/>
  <c r="K14" i="12"/>
  <c r="K15" i="12"/>
  <c r="K16" i="12"/>
  <c r="K17" i="12"/>
  <c r="J10" i="12"/>
  <c r="J11" i="12"/>
  <c r="J12" i="12"/>
  <c r="J13" i="12"/>
  <c r="J14" i="12"/>
  <c r="J15" i="12"/>
  <c r="J16" i="12"/>
  <c r="J17" i="12"/>
  <c r="B18" i="12" l="1"/>
  <c r="C9" i="12" s="1"/>
  <c r="D18" i="12"/>
  <c r="E10" i="12" s="1"/>
  <c r="F18" i="12"/>
  <c r="G9" i="12" s="1"/>
  <c r="H18" i="12"/>
  <c r="I13" i="12" s="1"/>
  <c r="I15" i="12" l="1"/>
  <c r="G10" i="12"/>
  <c r="K18" i="12"/>
  <c r="J18" i="12"/>
  <c r="I11" i="12"/>
  <c r="L18" i="12"/>
  <c r="M18" i="12"/>
  <c r="I10" i="12"/>
  <c r="E11" i="12"/>
  <c r="E14" i="12"/>
  <c r="C11" i="12"/>
  <c r="E17" i="12"/>
  <c r="C14" i="12"/>
  <c r="C17" i="12"/>
  <c r="C10" i="12"/>
  <c r="I16" i="12"/>
  <c r="C13" i="12"/>
  <c r="I9" i="12"/>
  <c r="C16" i="12"/>
  <c r="I12" i="12"/>
  <c r="G17" i="12"/>
  <c r="G14" i="12"/>
  <c r="G11" i="12"/>
  <c r="G15" i="12"/>
  <c r="G12" i="12"/>
  <c r="E15" i="12"/>
  <c r="E12" i="12"/>
  <c r="E9" i="12"/>
  <c r="G16" i="12"/>
  <c r="C15" i="12"/>
  <c r="G13" i="12"/>
  <c r="C12" i="12"/>
  <c r="I17" i="12"/>
  <c r="E16" i="12"/>
  <c r="I14" i="12"/>
  <c r="E13" i="12"/>
  <c r="I18" i="12" l="1"/>
  <c r="C18" i="12"/>
  <c r="E18" i="12"/>
  <c r="G18" i="12"/>
  <c r="C10" i="5" l="1"/>
  <c r="J12" i="11" l="1"/>
  <c r="I12" i="11"/>
  <c r="H12" i="11"/>
  <c r="D12" i="11"/>
  <c r="C12" i="11"/>
  <c r="B12" i="11"/>
  <c r="M13" i="10"/>
  <c r="L13" i="10"/>
  <c r="K13" i="10"/>
  <c r="I13" i="10"/>
  <c r="H13" i="10"/>
  <c r="G13" i="10"/>
  <c r="E13" i="10"/>
  <c r="D13" i="10"/>
  <c r="C13" i="10"/>
  <c r="J12" i="8"/>
  <c r="G12" i="8"/>
  <c r="D12" i="8"/>
  <c r="E14" i="2"/>
  <c r="B14" i="2"/>
  <c r="B13" i="1"/>
  <c r="C13" i="1"/>
  <c r="K8" i="8"/>
  <c r="L8" i="8"/>
  <c r="M8" i="8"/>
  <c r="D10" i="2"/>
  <c r="F10" i="2" s="1"/>
  <c r="F15" i="2"/>
  <c r="G15" i="2"/>
  <c r="H15" i="2" s="1"/>
  <c r="F16" i="2"/>
  <c r="G16" i="2"/>
  <c r="H16" i="2" s="1"/>
  <c r="G10" i="2" l="1"/>
  <c r="H10" i="2" s="1"/>
  <c r="D65" i="12" l="1"/>
  <c r="E60" i="12" s="1"/>
  <c r="M8" i="11" l="1"/>
  <c r="L8" i="11"/>
  <c r="K8" i="11"/>
  <c r="Q12" i="10" l="1"/>
  <c r="Q9" i="10" l="1"/>
  <c r="P9" i="10"/>
  <c r="O9" i="10"/>
  <c r="N9" i="10"/>
  <c r="J9" i="9" l="1"/>
  <c r="J10" i="9"/>
  <c r="J11" i="9"/>
  <c r="I12" i="8"/>
  <c r="H12" i="8"/>
  <c r="E12" i="8"/>
  <c r="D13" i="8"/>
  <c r="G13" i="8"/>
  <c r="J13" i="8"/>
  <c r="D10" i="5" l="1"/>
  <c r="D10" i="1" l="1"/>
  <c r="H14" i="10" l="1"/>
  <c r="G7" i="15"/>
  <c r="F9" i="15"/>
  <c r="G9" i="15" s="1"/>
  <c r="M11" i="11"/>
  <c r="L11" i="11"/>
  <c r="K11" i="11"/>
  <c r="M9" i="11"/>
  <c r="L9" i="11"/>
  <c r="K9" i="11"/>
  <c r="J13" i="10"/>
  <c r="F13" i="10"/>
  <c r="B13" i="10"/>
  <c r="P12" i="10"/>
  <c r="O12" i="10"/>
  <c r="N12" i="10"/>
  <c r="Q10" i="10"/>
  <c r="P10" i="10"/>
  <c r="O10" i="10"/>
  <c r="N10" i="10"/>
  <c r="N13" i="10" s="1"/>
  <c r="K9" i="9"/>
  <c r="K11" i="9"/>
  <c r="F12" i="8"/>
  <c r="C12" i="8"/>
  <c r="B12" i="8"/>
  <c r="M9" i="8"/>
  <c r="L9" i="8"/>
  <c r="L12" i="8" s="1"/>
  <c r="K9" i="8"/>
  <c r="K12" i="8" s="1"/>
  <c r="M11" i="8"/>
  <c r="L11" i="8"/>
  <c r="K11" i="8"/>
  <c r="G13" i="2"/>
  <c r="H13" i="2" s="1"/>
  <c r="D8" i="5"/>
  <c r="C8" i="5"/>
  <c r="G11" i="2" l="1"/>
  <c r="F13" i="2"/>
  <c r="F11" i="2"/>
  <c r="H11" i="2" l="1"/>
  <c r="D9" i="5"/>
  <c r="C9" i="5"/>
  <c r="D10" i="7"/>
  <c r="D8" i="7"/>
  <c r="D10" i="4"/>
  <c r="F10" i="4" s="1"/>
  <c r="D8" i="4"/>
  <c r="F8" i="4" s="1"/>
  <c r="E10" i="1"/>
  <c r="F10" i="1" s="1"/>
  <c r="E12" i="1"/>
  <c r="D12" i="1"/>
  <c r="D14" i="2"/>
  <c r="F17" i="2"/>
  <c r="G17" i="2"/>
  <c r="H17" i="2" s="1"/>
  <c r="B18" i="2"/>
  <c r="E18" i="2"/>
  <c r="F19" i="2"/>
  <c r="G19" i="2"/>
  <c r="H19" i="2" s="1"/>
  <c r="F20" i="2"/>
  <c r="G20" i="2"/>
  <c r="F21" i="2"/>
  <c r="G21" i="2"/>
  <c r="H21" i="2" s="1"/>
  <c r="B22" i="2"/>
  <c r="E22" i="2"/>
  <c r="F23" i="2"/>
  <c r="G23" i="2"/>
  <c r="H23" i="2" s="1"/>
  <c r="F24" i="2"/>
  <c r="G24" i="2"/>
  <c r="H24" i="2" s="1"/>
  <c r="F25" i="2"/>
  <c r="G25" i="2"/>
  <c r="H25" i="2" s="1"/>
  <c r="F26" i="2"/>
  <c r="G26" i="2"/>
  <c r="H26" i="2" s="1"/>
  <c r="B27" i="2"/>
  <c r="E27" i="2"/>
  <c r="F12" i="1" l="1"/>
  <c r="G12" i="2"/>
  <c r="F18" i="2"/>
  <c r="G22" i="2"/>
  <c r="H22" i="2" s="1"/>
  <c r="F27" i="2"/>
  <c r="F22" i="2"/>
  <c r="B28" i="2"/>
  <c r="H20" i="2"/>
  <c r="G18" i="2"/>
  <c r="H18" i="2" s="1"/>
  <c r="F12" i="2"/>
  <c r="F14" i="2"/>
  <c r="E10" i="4"/>
  <c r="E8" i="4"/>
  <c r="G27" i="2"/>
  <c r="H27" i="2" s="1"/>
  <c r="E28" i="2"/>
  <c r="H12" i="2" l="1"/>
  <c r="G14" i="2"/>
  <c r="H14" i="2" s="1"/>
  <c r="F28" i="2"/>
  <c r="G28" i="2" l="1"/>
  <c r="C72" i="18" l="1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D65" i="18"/>
  <c r="D68" i="18"/>
  <c r="D66" i="18"/>
  <c r="B72" i="18"/>
  <c r="D63" i="18"/>
  <c r="D70" i="18"/>
  <c r="D64" i="18"/>
  <c r="D67" i="18"/>
  <c r="D72" i="18" l="1"/>
  <c r="F65" i="12" l="1"/>
  <c r="G9" i="16" l="1"/>
  <c r="F9" i="16"/>
  <c r="C9" i="16"/>
  <c r="B9" i="16"/>
  <c r="L54" i="12" l="1"/>
  <c r="J54" i="12"/>
  <c r="B65" i="12" l="1"/>
  <c r="C60" i="12" l="1"/>
  <c r="C63" i="12"/>
  <c r="C58" i="12"/>
  <c r="C64" i="12"/>
  <c r="C61" i="12"/>
  <c r="C56" i="12"/>
  <c r="C62" i="12"/>
  <c r="C57" i="12"/>
  <c r="C55" i="12"/>
  <c r="C59" i="12"/>
  <c r="K65" i="12"/>
  <c r="J65" i="12"/>
  <c r="E54" i="12"/>
  <c r="E62" i="12"/>
  <c r="E59" i="12"/>
  <c r="E64" i="12"/>
  <c r="E55" i="12"/>
  <c r="E63" i="12"/>
  <c r="E57" i="12"/>
  <c r="E56" i="12"/>
  <c r="E58" i="12"/>
  <c r="E61" i="12"/>
  <c r="E65" i="12" l="1"/>
  <c r="N19" i="13"/>
  <c r="N15" i="13"/>
  <c r="E12" i="11"/>
  <c r="F12" i="11"/>
  <c r="G12" i="11"/>
  <c r="E16" i="11"/>
  <c r="F16" i="11"/>
  <c r="G16" i="11"/>
  <c r="E20" i="11"/>
  <c r="F20" i="11"/>
  <c r="G20" i="11"/>
  <c r="E24" i="11"/>
  <c r="F24" i="11"/>
  <c r="G24" i="11"/>
  <c r="E25" i="11" l="1"/>
  <c r="F25" i="11"/>
  <c r="G25" i="11"/>
  <c r="N43" i="13"/>
  <c r="K10" i="9" l="1"/>
  <c r="P39" i="17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E24" i="17" s="1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F24" i="16" s="1"/>
  <c r="E11" i="16"/>
  <c r="E24" i="16" s="1"/>
  <c r="D11" i="16"/>
  <c r="C11" i="16"/>
  <c r="B11" i="16"/>
  <c r="I10" i="16"/>
  <c r="H10" i="16"/>
  <c r="I9" i="16"/>
  <c r="H9" i="16"/>
  <c r="I8" i="16"/>
  <c r="H8" i="16"/>
  <c r="B24" i="16" l="1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B11" i="4"/>
  <c r="D12" i="9" l="1"/>
  <c r="B12" i="9"/>
  <c r="E11" i="1"/>
  <c r="E13" i="1" s="1"/>
  <c r="C11" i="4" l="1"/>
  <c r="C12" i="9" l="1"/>
  <c r="C10" i="15" l="1"/>
  <c r="E10" i="15" l="1"/>
  <c r="D10" i="15"/>
  <c r="B10" i="15"/>
  <c r="C11" i="6"/>
  <c r="B11" i="6"/>
  <c r="B11" i="5"/>
  <c r="C11" i="5" s="1"/>
  <c r="C11" i="7"/>
  <c r="B11" i="7"/>
  <c r="D11" i="5" l="1"/>
  <c r="C54" i="12"/>
  <c r="C65" i="12" s="1"/>
  <c r="G55" i="12"/>
  <c r="G62" i="12"/>
  <c r="G57" i="12"/>
  <c r="G58" i="12"/>
  <c r="G64" i="12"/>
  <c r="G56" i="12"/>
  <c r="G63" i="12"/>
  <c r="D13" i="1"/>
  <c r="M50" i="13" l="1"/>
  <c r="L50" i="13"/>
  <c r="J50" i="13"/>
  <c r="I50" i="13"/>
  <c r="G50" i="13"/>
  <c r="F50" i="13"/>
  <c r="D50" i="13"/>
  <c r="C50" i="13"/>
  <c r="N49" i="13"/>
  <c r="K49" i="13"/>
  <c r="H49" i="13"/>
  <c r="E49" i="13"/>
  <c r="N48" i="13"/>
  <c r="K48" i="13"/>
  <c r="H48" i="13"/>
  <c r="E48" i="13"/>
  <c r="N47" i="13"/>
  <c r="K47" i="13"/>
  <c r="H47" i="13"/>
  <c r="E47" i="13"/>
  <c r="N46" i="13"/>
  <c r="K46" i="13"/>
  <c r="H46" i="13"/>
  <c r="E46" i="13"/>
  <c r="N45" i="13"/>
  <c r="K45" i="13"/>
  <c r="H45" i="13"/>
  <c r="E45" i="13"/>
  <c r="N44" i="13"/>
  <c r="K44" i="13"/>
  <c r="H44" i="13"/>
  <c r="E44" i="13"/>
  <c r="N42" i="13"/>
  <c r="K42" i="13"/>
  <c r="H42" i="13"/>
  <c r="E42" i="13"/>
  <c r="N41" i="13"/>
  <c r="K41" i="13"/>
  <c r="H41" i="13"/>
  <c r="E41" i="13"/>
  <c r="N40" i="13"/>
  <c r="K40" i="13"/>
  <c r="H40" i="13"/>
  <c r="E40" i="13"/>
  <c r="N39" i="13"/>
  <c r="K39" i="13"/>
  <c r="H39" i="13"/>
  <c r="E39" i="13"/>
  <c r="J30" i="13"/>
  <c r="I30" i="13"/>
  <c r="G30" i="13"/>
  <c r="F30" i="13"/>
  <c r="D30" i="13"/>
  <c r="C30" i="13"/>
  <c r="N29" i="13"/>
  <c r="K29" i="13"/>
  <c r="N28" i="13"/>
  <c r="K28" i="13"/>
  <c r="N27" i="13"/>
  <c r="K27" i="13"/>
  <c r="N26" i="13"/>
  <c r="K26" i="13"/>
  <c r="N25" i="13"/>
  <c r="K25" i="13"/>
  <c r="N24" i="13"/>
  <c r="K24" i="13"/>
  <c r="N23" i="13"/>
  <c r="N22" i="13"/>
  <c r="K22" i="13"/>
  <c r="N21" i="13"/>
  <c r="K21" i="13"/>
  <c r="N20" i="13"/>
  <c r="K20" i="13"/>
  <c r="N18" i="13"/>
  <c r="K18" i="13"/>
  <c r="N17" i="13"/>
  <c r="K17" i="13"/>
  <c r="N16" i="13"/>
  <c r="K16" i="13"/>
  <c r="K14" i="13"/>
  <c r="K13" i="13"/>
  <c r="N12" i="13"/>
  <c r="K12" i="13"/>
  <c r="N11" i="13"/>
  <c r="K11" i="13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E14" i="15"/>
  <c r="D14" i="15"/>
  <c r="C14" i="15"/>
  <c r="B14" i="15"/>
  <c r="F13" i="15"/>
  <c r="G13" i="15" s="1"/>
  <c r="F12" i="15"/>
  <c r="G12" i="15" s="1"/>
  <c r="F11" i="15"/>
  <c r="G11" i="15" s="1"/>
  <c r="F8" i="15"/>
  <c r="G8" i="15" s="1"/>
  <c r="J24" i="11"/>
  <c r="I24" i="11"/>
  <c r="H24" i="11"/>
  <c r="D24" i="11"/>
  <c r="C24" i="11"/>
  <c r="B24" i="11"/>
  <c r="M23" i="11"/>
  <c r="L23" i="11"/>
  <c r="K23" i="11"/>
  <c r="M22" i="11"/>
  <c r="L22" i="11"/>
  <c r="K22" i="11"/>
  <c r="M21" i="11"/>
  <c r="L21" i="11"/>
  <c r="K21" i="11"/>
  <c r="J20" i="11"/>
  <c r="I20" i="11"/>
  <c r="H20" i="11"/>
  <c r="D20" i="11"/>
  <c r="C20" i="11"/>
  <c r="B20" i="11"/>
  <c r="M19" i="11"/>
  <c r="L19" i="11"/>
  <c r="K19" i="11"/>
  <c r="M18" i="11"/>
  <c r="L18" i="11"/>
  <c r="K18" i="11"/>
  <c r="M17" i="11"/>
  <c r="L17" i="11"/>
  <c r="K17" i="11"/>
  <c r="J16" i="11"/>
  <c r="I16" i="11"/>
  <c r="H16" i="11"/>
  <c r="D16" i="11"/>
  <c r="C16" i="11"/>
  <c r="B16" i="11"/>
  <c r="M15" i="11"/>
  <c r="L15" i="11"/>
  <c r="K15" i="11"/>
  <c r="M14" i="11"/>
  <c r="L14" i="11"/>
  <c r="K14" i="11"/>
  <c r="M13" i="11"/>
  <c r="L13" i="11"/>
  <c r="K13" i="11"/>
  <c r="M10" i="11"/>
  <c r="M12" i="11" s="1"/>
  <c r="L10" i="11"/>
  <c r="L12" i="11" s="1"/>
  <c r="K10" i="11"/>
  <c r="K12" i="11" s="1"/>
  <c r="I26" i="10"/>
  <c r="H26" i="10"/>
  <c r="H27" i="10" s="1"/>
  <c r="G26" i="10"/>
  <c r="F26" i="10"/>
  <c r="F27" i="10" s="1"/>
  <c r="M26" i="10"/>
  <c r="L26" i="10"/>
  <c r="L27" i="10" s="1"/>
  <c r="K26" i="10"/>
  <c r="J26" i="10"/>
  <c r="J27" i="10" s="1"/>
  <c r="E26" i="10"/>
  <c r="D26" i="10"/>
  <c r="D27" i="10" s="1"/>
  <c r="C26" i="10"/>
  <c r="B26" i="10"/>
  <c r="B27" i="10" s="1"/>
  <c r="Q25" i="10"/>
  <c r="P25" i="10"/>
  <c r="O25" i="10"/>
  <c r="N25" i="10"/>
  <c r="Q24" i="10"/>
  <c r="P24" i="10"/>
  <c r="P26" i="10" s="1"/>
  <c r="P27" i="10" s="1"/>
  <c r="O24" i="10"/>
  <c r="N24" i="10"/>
  <c r="N26" i="10" s="1"/>
  <c r="N27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I17" i="10"/>
  <c r="H17" i="10"/>
  <c r="G17" i="10"/>
  <c r="F17" i="10"/>
  <c r="M17" i="10"/>
  <c r="L17" i="10"/>
  <c r="K17" i="10"/>
  <c r="J17" i="10"/>
  <c r="E17" i="10"/>
  <c r="D17" i="10"/>
  <c r="C17" i="10"/>
  <c r="B17" i="10"/>
  <c r="Q16" i="10"/>
  <c r="P16" i="10"/>
  <c r="P17" i="10" s="1"/>
  <c r="O16" i="10"/>
  <c r="N16" i="10"/>
  <c r="N17" i="10" s="1"/>
  <c r="Q15" i="10"/>
  <c r="P15" i="10"/>
  <c r="O15" i="10"/>
  <c r="N15" i="10"/>
  <c r="Q14" i="10"/>
  <c r="P14" i="10"/>
  <c r="O14" i="10"/>
  <c r="N14" i="10"/>
  <c r="Q11" i="10"/>
  <c r="Q13" i="10" s="1"/>
  <c r="P11" i="10"/>
  <c r="P13" i="10" s="1"/>
  <c r="O11" i="10"/>
  <c r="O13" i="10" s="1"/>
  <c r="N11" i="10"/>
  <c r="H65" i="12"/>
  <c r="G54" i="12"/>
  <c r="I24" i="9"/>
  <c r="H24" i="9"/>
  <c r="G24" i="9"/>
  <c r="F24" i="9"/>
  <c r="E24" i="9"/>
  <c r="D24" i="9"/>
  <c r="C24" i="9"/>
  <c r="B24" i="9"/>
  <c r="K23" i="9"/>
  <c r="J23" i="9"/>
  <c r="K22" i="9"/>
  <c r="J22" i="9"/>
  <c r="K21" i="9"/>
  <c r="J21" i="9"/>
  <c r="I20" i="9"/>
  <c r="H20" i="9"/>
  <c r="G20" i="9"/>
  <c r="F20" i="9"/>
  <c r="E20" i="9"/>
  <c r="D20" i="9"/>
  <c r="C20" i="9"/>
  <c r="B20" i="9"/>
  <c r="K19" i="9"/>
  <c r="J19" i="9"/>
  <c r="K18" i="9"/>
  <c r="J18" i="9"/>
  <c r="K17" i="9"/>
  <c r="J17" i="9"/>
  <c r="I16" i="9"/>
  <c r="H16" i="9"/>
  <c r="G16" i="9"/>
  <c r="F16" i="9"/>
  <c r="E16" i="9"/>
  <c r="D16" i="9"/>
  <c r="C16" i="9"/>
  <c r="B16" i="9"/>
  <c r="K15" i="9"/>
  <c r="J15" i="9"/>
  <c r="K14" i="9"/>
  <c r="J14" i="9"/>
  <c r="K13" i="9"/>
  <c r="J13" i="9"/>
  <c r="I12" i="9"/>
  <c r="H12" i="9"/>
  <c r="G12" i="9"/>
  <c r="F12" i="9"/>
  <c r="G25" i="8"/>
  <c r="F25" i="8"/>
  <c r="F26" i="8" s="1"/>
  <c r="E25" i="8"/>
  <c r="E26" i="8" s="1"/>
  <c r="J25" i="8"/>
  <c r="I25" i="8"/>
  <c r="I26" i="8" s="1"/>
  <c r="H25" i="8"/>
  <c r="H26" i="8" s="1"/>
  <c r="D25" i="8"/>
  <c r="C25" i="8"/>
  <c r="C26" i="8" s="1"/>
  <c r="B25" i="8"/>
  <c r="B26" i="8" s="1"/>
  <c r="M24" i="8"/>
  <c r="L24" i="8"/>
  <c r="L25" i="8" s="1"/>
  <c r="L26" i="8" s="1"/>
  <c r="K24" i="8"/>
  <c r="K25" i="8" s="1"/>
  <c r="K26" i="8" s="1"/>
  <c r="M23" i="8"/>
  <c r="L23" i="8"/>
  <c r="K23" i="8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G16" i="8"/>
  <c r="F16" i="8"/>
  <c r="E16" i="8"/>
  <c r="J16" i="8"/>
  <c r="I16" i="8"/>
  <c r="H16" i="8"/>
  <c r="D16" i="8"/>
  <c r="C16" i="8"/>
  <c r="B16" i="8"/>
  <c r="M15" i="8"/>
  <c r="L15" i="8"/>
  <c r="L16" i="8" s="1"/>
  <c r="K15" i="8"/>
  <c r="K16" i="8" s="1"/>
  <c r="M14" i="8"/>
  <c r="L14" i="8"/>
  <c r="K14" i="8"/>
  <c r="M13" i="8"/>
  <c r="L13" i="8"/>
  <c r="K13" i="8"/>
  <c r="M10" i="8"/>
  <c r="M12" i="8" s="1"/>
  <c r="L10" i="8"/>
  <c r="K10" i="8"/>
  <c r="C23" i="6"/>
  <c r="B23" i="6"/>
  <c r="C19" i="6"/>
  <c r="B19" i="6"/>
  <c r="C15" i="6"/>
  <c r="B15" i="6"/>
  <c r="B23" i="5"/>
  <c r="C22" i="5"/>
  <c r="C21" i="5"/>
  <c r="C20" i="5"/>
  <c r="B19" i="5"/>
  <c r="C18" i="5"/>
  <c r="C17" i="5"/>
  <c r="C16" i="5"/>
  <c r="B15" i="5"/>
  <c r="D15" i="5" s="1"/>
  <c r="C14" i="5"/>
  <c r="C13" i="5"/>
  <c r="C12" i="5"/>
  <c r="C23" i="7"/>
  <c r="B23" i="7"/>
  <c r="D22" i="7"/>
  <c r="D21" i="7"/>
  <c r="D20" i="7"/>
  <c r="C19" i="7"/>
  <c r="B19" i="7"/>
  <c r="D18" i="7"/>
  <c r="D17" i="7"/>
  <c r="D16" i="7"/>
  <c r="C15" i="7"/>
  <c r="B15" i="7"/>
  <c r="D14" i="7"/>
  <c r="D13" i="7"/>
  <c r="D12" i="7"/>
  <c r="D9" i="7"/>
  <c r="C23" i="4"/>
  <c r="C24" i="4" s="1"/>
  <c r="B23" i="4"/>
  <c r="B24" i="4" s="1"/>
  <c r="D22" i="4"/>
  <c r="F22" i="4" s="1"/>
  <c r="D21" i="4"/>
  <c r="D20" i="4"/>
  <c r="F20" i="4" s="1"/>
  <c r="F23" i="4" s="1"/>
  <c r="C19" i="4"/>
  <c r="B19" i="4"/>
  <c r="D18" i="4"/>
  <c r="F18" i="4" s="1"/>
  <c r="D17" i="4"/>
  <c r="F17" i="4" s="1"/>
  <c r="D16" i="4"/>
  <c r="F16" i="4" s="1"/>
  <c r="F19" i="4" s="1"/>
  <c r="C15" i="4"/>
  <c r="B15" i="4"/>
  <c r="D14" i="4"/>
  <c r="E14" i="4" s="1"/>
  <c r="D13" i="4"/>
  <c r="E13" i="4" s="1"/>
  <c r="D12" i="4"/>
  <c r="F12" i="4" s="1"/>
  <c r="F15" i="4" s="1"/>
  <c r="D9" i="4"/>
  <c r="O10" i="4" s="1"/>
  <c r="E26" i="1"/>
  <c r="C26" i="1"/>
  <c r="B26" i="1"/>
  <c r="F25" i="1"/>
  <c r="D25" i="1"/>
  <c r="F24" i="1"/>
  <c r="D24" i="1"/>
  <c r="F23" i="1"/>
  <c r="D23" i="1"/>
  <c r="F22" i="1"/>
  <c r="D22" i="1"/>
  <c r="E21" i="1"/>
  <c r="C21" i="1"/>
  <c r="B21" i="1"/>
  <c r="F20" i="1"/>
  <c r="D20" i="1"/>
  <c r="F19" i="1"/>
  <c r="D19" i="1"/>
  <c r="F18" i="1"/>
  <c r="D18" i="1"/>
  <c r="E17" i="1"/>
  <c r="C17" i="1"/>
  <c r="B17" i="1"/>
  <c r="F16" i="1"/>
  <c r="D16" i="1"/>
  <c r="F15" i="1"/>
  <c r="D15" i="1"/>
  <c r="F14" i="1"/>
  <c r="D14" i="1"/>
  <c r="F11" i="1"/>
  <c r="D11" i="1"/>
  <c r="H30" i="13" l="1"/>
  <c r="M65" i="12"/>
  <c r="L65" i="12"/>
  <c r="D23" i="5"/>
  <c r="R13" i="10"/>
  <c r="R28" i="10" s="1"/>
  <c r="C27" i="1"/>
  <c r="B23" i="15"/>
  <c r="D23" i="15"/>
  <c r="K30" i="13"/>
  <c r="E50" i="13"/>
  <c r="C25" i="9"/>
  <c r="K50" i="13"/>
  <c r="F13" i="4"/>
  <c r="F25" i="9"/>
  <c r="D25" i="9"/>
  <c r="J20" i="9"/>
  <c r="B25" i="9"/>
  <c r="D26" i="1"/>
  <c r="H50" i="13"/>
  <c r="C24" i="7"/>
  <c r="L16" i="11"/>
  <c r="B24" i="7"/>
  <c r="H25" i="9"/>
  <c r="J24" i="9"/>
  <c r="C23" i="15"/>
  <c r="D21" i="1"/>
  <c r="C23" i="5"/>
  <c r="I25" i="9"/>
  <c r="I64" i="12"/>
  <c r="J25" i="11"/>
  <c r="M20" i="11"/>
  <c r="E30" i="13"/>
  <c r="F21" i="1"/>
  <c r="F26" i="1"/>
  <c r="D23" i="7"/>
  <c r="J16" i="9"/>
  <c r="E12" i="4"/>
  <c r="E15" i="4" s="1"/>
  <c r="E20" i="4"/>
  <c r="E23" i="4" s="1"/>
  <c r="D19" i="7"/>
  <c r="F14" i="4"/>
  <c r="D11" i="4"/>
  <c r="D15" i="4"/>
  <c r="T43" i="8"/>
  <c r="T40" i="8"/>
  <c r="K27" i="10"/>
  <c r="B27" i="1"/>
  <c r="D23" i="4"/>
  <c r="D24" i="4" s="1"/>
  <c r="E22" i="4"/>
  <c r="E23" i="15"/>
  <c r="K24" i="9"/>
  <c r="D15" i="7"/>
  <c r="S31" i="8"/>
  <c r="S43" i="8"/>
  <c r="S40" i="8"/>
  <c r="K16" i="9"/>
  <c r="K20" i="9"/>
  <c r="K20" i="11"/>
  <c r="D11" i="7"/>
  <c r="E17" i="4"/>
  <c r="F14" i="15"/>
  <c r="G14" i="15" s="1"/>
  <c r="F18" i="15"/>
  <c r="G18" i="15" s="1"/>
  <c r="F22" i="15"/>
  <c r="G22" i="15" s="1"/>
  <c r="D17" i="1"/>
  <c r="D19" i="4"/>
  <c r="C19" i="5"/>
  <c r="E25" i="9"/>
  <c r="O17" i="10"/>
  <c r="O9" i="4"/>
  <c r="F17" i="1"/>
  <c r="E21" i="4"/>
  <c r="E24" i="4" s="1"/>
  <c r="D19" i="5"/>
  <c r="I27" i="10"/>
  <c r="E16" i="4"/>
  <c r="E19" i="4" s="1"/>
  <c r="E18" i="4"/>
  <c r="F21" i="4"/>
  <c r="F24" i="4" s="1"/>
  <c r="G25" i="9"/>
  <c r="I25" i="11"/>
  <c r="K16" i="11"/>
  <c r="L20" i="11"/>
  <c r="K24" i="11"/>
  <c r="M24" i="11"/>
  <c r="C27" i="10"/>
  <c r="M27" i="10"/>
  <c r="O26" i="10"/>
  <c r="L24" i="11"/>
  <c r="D25" i="11"/>
  <c r="M16" i="11"/>
  <c r="H25" i="11"/>
  <c r="B25" i="11"/>
  <c r="C25" i="11"/>
  <c r="N50" i="13"/>
  <c r="I54" i="12"/>
  <c r="I56" i="12"/>
  <c r="I57" i="12"/>
  <c r="K12" i="9"/>
  <c r="S34" i="8"/>
  <c r="E9" i="4"/>
  <c r="E11" i="4" s="1"/>
  <c r="F9" i="4"/>
  <c r="I60" i="12"/>
  <c r="Q21" i="10"/>
  <c r="G27" i="10"/>
  <c r="Q26" i="10"/>
  <c r="Q17" i="10"/>
  <c r="O21" i="10"/>
  <c r="E27" i="10"/>
  <c r="F10" i="15"/>
  <c r="J12" i="9"/>
  <c r="Q15" i="8"/>
  <c r="M16" i="8"/>
  <c r="J26" i="8"/>
  <c r="M20" i="8"/>
  <c r="M25" i="8"/>
  <c r="Q10" i="8"/>
  <c r="F13" i="1"/>
  <c r="G65" i="12"/>
  <c r="I59" i="12"/>
  <c r="I63" i="12"/>
  <c r="I62" i="12"/>
  <c r="I55" i="12"/>
  <c r="I58" i="12"/>
  <c r="I61" i="12"/>
  <c r="T34" i="8"/>
  <c r="T31" i="8"/>
  <c r="D26" i="8"/>
  <c r="G26" i="8"/>
  <c r="B24" i="5"/>
  <c r="C15" i="5"/>
  <c r="K25" i="9" l="1"/>
  <c r="D27" i="1"/>
  <c r="L25" i="11"/>
  <c r="J25" i="9"/>
  <c r="Q28" i="10"/>
  <c r="U43" i="8"/>
  <c r="U40" i="8"/>
  <c r="D28" i="8"/>
  <c r="M25" i="4"/>
  <c r="M11" i="4"/>
  <c r="O11" i="4"/>
  <c r="U34" i="8"/>
  <c r="U31" i="8"/>
  <c r="G28" i="8"/>
  <c r="G27" i="8"/>
  <c r="M26" i="8"/>
  <c r="K25" i="11"/>
  <c r="O27" i="10"/>
  <c r="J27" i="8"/>
  <c r="M25" i="11"/>
  <c r="Q27" i="10"/>
  <c r="J28" i="8"/>
  <c r="B25" i="7"/>
  <c r="C25" i="7"/>
  <c r="D24" i="7"/>
  <c r="F11" i="4"/>
  <c r="D27" i="8"/>
  <c r="I65" i="12"/>
  <c r="E27" i="1"/>
  <c r="F27" i="1" s="1"/>
  <c r="G10" i="15"/>
  <c r="F23" i="15"/>
  <c r="G23" i="15" s="1"/>
  <c r="N14" i="13"/>
  <c r="N13" i="13"/>
  <c r="L30" i="13"/>
  <c r="O28" i="10" l="1"/>
  <c r="U9" i="8"/>
  <c r="V11" i="8"/>
  <c r="N30" i="13"/>
</calcChain>
</file>

<file path=xl/comments1.xml><?xml version="1.0" encoding="utf-8"?>
<comments xmlns="http://schemas.openxmlformats.org/spreadsheetml/2006/main">
  <authors>
    <author>César Augusto Roa Meran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Disminución a causa de nivelación de pensiones a RD$ 10,000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Incremento en este apartado se debe a la nivelación de pensiones a 10,000 RD$</t>
        </r>
      </text>
    </comment>
  </commentList>
</comments>
</file>

<file path=xl/comments2.xml><?xml version="1.0" encoding="utf-8"?>
<comments xmlns="http://schemas.openxmlformats.org/spreadsheetml/2006/main">
  <authors>
    <author>Isabel Jaquez Adames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Estas columnas se pueden eliminar</t>
        </r>
      </text>
    </comment>
  </commentList>
</comments>
</file>

<file path=xl/sharedStrings.xml><?xml version="1.0" encoding="utf-8"?>
<sst xmlns="http://schemas.openxmlformats.org/spreadsheetml/2006/main" count="798" uniqueCount="264">
  <si>
    <t>Dirección General de Jubilaciones y Pensiones a Cargo del Estado</t>
  </si>
  <si>
    <t>Mes</t>
  </si>
  <si>
    <t>Cotizantes</t>
  </si>
  <si>
    <t>% Cotizantes</t>
  </si>
  <si>
    <t>No Cotizantes</t>
  </si>
  <si>
    <t>% No Cotizantes</t>
  </si>
  <si>
    <t>Direccion General de Jubilaciones y Pensiones a Cargo del Estado</t>
  </si>
  <si>
    <t>Distribución de Cotizantes por Tipo de Empleador</t>
  </si>
  <si>
    <t>Privado</t>
  </si>
  <si>
    <t>Total</t>
  </si>
  <si>
    <t>Distribución de Aportes</t>
  </si>
  <si>
    <t>Cantidad de Aportes</t>
  </si>
  <si>
    <t>Individualización por tipo de Empleador</t>
  </si>
  <si>
    <t>DGJP</t>
  </si>
  <si>
    <t>PN</t>
  </si>
  <si>
    <t>TOTAL</t>
  </si>
  <si>
    <t>Cantidad Pensionados</t>
  </si>
  <si>
    <t>Cantidad Pensiones</t>
  </si>
  <si>
    <t>Monto</t>
  </si>
  <si>
    <t>Inclusiones</t>
  </si>
  <si>
    <t>Exclusiones</t>
  </si>
  <si>
    <t>Suspensiones</t>
  </si>
  <si>
    <t>Cantidad</t>
  </si>
  <si>
    <t>TOTAL GENERAL</t>
  </si>
  <si>
    <t>Electrónico</t>
  </si>
  <si>
    <t>Cheque</t>
  </si>
  <si>
    <t>Cantidad de Pensiones</t>
  </si>
  <si>
    <t>Cantidad  Pensiones</t>
  </si>
  <si>
    <t>Cantidad Electrónico</t>
  </si>
  <si>
    <t>Cantidad Cheque</t>
  </si>
  <si>
    <t>% Recuperado</t>
  </si>
  <si>
    <t>Restante</t>
  </si>
  <si>
    <t>Absoluto (RD$)</t>
  </si>
  <si>
    <t>Relativo</t>
  </si>
  <si>
    <t>Abril</t>
  </si>
  <si>
    <t>Mayo</t>
  </si>
  <si>
    <t>Junio</t>
  </si>
  <si>
    <t xml:space="preserve">Tipo de Pensión </t>
  </si>
  <si>
    <t xml:space="preserve">Tipo  </t>
  </si>
  <si>
    <t>Porcentaje</t>
  </si>
  <si>
    <t>PENSIÓN CIVIL</t>
  </si>
  <si>
    <t>IDSS</t>
  </si>
  <si>
    <t>GLORIAS DEL DEPORTE</t>
  </si>
  <si>
    <t>PODER LEGISLATIVO</t>
  </si>
  <si>
    <t>PODER EJECUTIVO</t>
  </si>
  <si>
    <t>PENSION POR SOBREVIVENCIA</t>
  </si>
  <si>
    <t>TOTALES:</t>
  </si>
  <si>
    <t>Cantidad 
Pensionados</t>
  </si>
  <si>
    <t xml:space="preserve">Público 
</t>
  </si>
  <si>
    <t>Cantidad 
Pensiones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</si>
  <si>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</si>
  <si>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</si>
  <si>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</si>
  <si>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</si>
  <si>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</si>
  <si>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Pensiones por Monto</t>
  </si>
  <si>
    <t>Rango</t>
  </si>
  <si>
    <t xml:space="preserve">Cantidad </t>
  </si>
  <si>
    <t>Menos de RD$5117.50</t>
  </si>
  <si>
    <t>Igual a RD$5117.51</t>
  </si>
  <si>
    <t>&gt;=100,000.00</t>
  </si>
  <si>
    <t>Pensiones por Edad</t>
  </si>
  <si>
    <t xml:space="preserve">Descripción </t>
  </si>
  <si>
    <t>Recibidas</t>
  </si>
  <si>
    <t>Procesadas</t>
  </si>
  <si>
    <t>% Eficiencia</t>
  </si>
  <si>
    <t>Aplicación Descuento 2%</t>
  </si>
  <si>
    <t xml:space="preserve">Certificación </t>
  </si>
  <si>
    <t>Modificación de Datos</t>
  </si>
  <si>
    <t>Pensión por Sobrevivencia Concubin@</t>
  </si>
  <si>
    <t>Pensión por Sobrevivencia Conyuge</t>
  </si>
  <si>
    <t>Reactivación</t>
  </si>
  <si>
    <t>Reembolso</t>
  </si>
  <si>
    <t>Reinclusión</t>
  </si>
  <si>
    <t>Retroactivo</t>
  </si>
  <si>
    <t>Solicitud Inclusión a Nómina</t>
  </si>
  <si>
    <t>Solicitud de Pensión</t>
  </si>
  <si>
    <t>Suspensión Descuento 2%</t>
  </si>
  <si>
    <t>Suspensión por Laborar Nuevamente en el Estado</t>
  </si>
  <si>
    <t>Total:</t>
  </si>
  <si>
    <t>Pensión por Sobrevivencia Menor</t>
  </si>
  <si>
    <t>Reajuste de Pensión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</si>
  <si>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</si>
  <si>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</si>
  <si>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</si>
  <si>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</si>
  <si>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</si>
  <si>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</si>
  <si>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</si>
  <si>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</si>
  <si>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</si>
  <si>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1er Trimestre</t>
  </si>
  <si>
    <t>3er Trimestre</t>
  </si>
  <si>
    <t>4to Trimestre</t>
  </si>
  <si>
    <t>Solicitudes Recibidas</t>
  </si>
  <si>
    <t>Cantidad de Tramites Procesados</t>
  </si>
  <si>
    <t>% Privado</t>
  </si>
  <si>
    <t>% Público</t>
  </si>
  <si>
    <t>10,000.00 - 20,000.00</t>
  </si>
  <si>
    <t>5,117.50 - 10,000.00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</si>
  <si>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</si>
  <si>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</si>
  <si>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</si>
  <si>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</si>
  <si>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</si>
  <si>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</si>
  <si>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</si>
  <si>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</si>
  <si>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</si>
  <si>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</si>
  <si>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</si>
  <si>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</si>
  <si>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</si>
  <si>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</si>
  <si>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</si>
  <si>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</si>
  <si>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Menos 18 años</t>
  </si>
  <si>
    <t xml:space="preserve">Electrónico </t>
  </si>
  <si>
    <t>Pensión por Sobrevivencia Concubinato</t>
  </si>
  <si>
    <t>Departamento Administrativo y Financiero</t>
  </si>
  <si>
    <t>Departamento de Gestión Financiera de Pensiones</t>
  </si>
  <si>
    <t>División de Seguimiento al Sistema de Reparto</t>
  </si>
  <si>
    <t>Gestión de Servicios a Pensionados</t>
  </si>
  <si>
    <t>Dirección de Servicios y Trámite de Pensiones</t>
  </si>
  <si>
    <t>PABELLÓN DE LA FAMA</t>
  </si>
  <si>
    <t>T4</t>
  </si>
  <si>
    <t>Regalía</t>
  </si>
  <si>
    <t>Diciembre**</t>
  </si>
  <si>
    <t xml:space="preserve"> **Estos totales incluyen las nóminas adicionales de regalía de pensionados inactivos.</t>
  </si>
  <si>
    <t>2do Trimestre</t>
  </si>
  <si>
    <t xml:space="preserve">Julio </t>
  </si>
  <si>
    <t>Promedio
2do Trimestre</t>
  </si>
  <si>
    <t>Promedio
3er Trimestre</t>
  </si>
  <si>
    <t>Promedio
4to Trimestre</t>
  </si>
  <si>
    <t>T2</t>
  </si>
  <si>
    <t>T3</t>
  </si>
  <si>
    <t>Público (RD$)</t>
  </si>
  <si>
    <t>Privado (RD$)</t>
  </si>
  <si>
    <t>Total (RD$)</t>
  </si>
  <si>
    <t>Pensiones Solidarias</t>
  </si>
  <si>
    <t>Δ Absoluta</t>
  </si>
  <si>
    <t>Δ Relativa</t>
  </si>
  <si>
    <t>Pensiones</t>
  </si>
  <si>
    <t>Variaciones</t>
  </si>
  <si>
    <t>Registro de Poder</t>
  </si>
  <si>
    <t>Abril-Junio 2019</t>
  </si>
  <si>
    <t xml:space="preserve">Cantidad* </t>
  </si>
  <si>
    <t>Monto*</t>
  </si>
  <si>
    <t>Pensionados</t>
  </si>
  <si>
    <t>Ajustes Monto Pensiones</t>
  </si>
  <si>
    <t>POLICÍA NACIONAL</t>
  </si>
  <si>
    <t>PENSIÓN SOLIDARIA</t>
  </si>
  <si>
    <r>
      <t>*</t>
    </r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Datos extraídos de SIJUPEN.</t>
    </r>
  </si>
  <si>
    <t>*Datos extraídos de SIJUPEN.</t>
  </si>
  <si>
    <t>Ejecución Presupuesto Administrativo</t>
  </si>
  <si>
    <t>*Fuente: SIGEF</t>
  </si>
  <si>
    <t>Ejecución Presupuesto Pensionados</t>
  </si>
  <si>
    <r>
      <rPr>
        <b/>
        <sz val="8"/>
        <color rgb="FF000000"/>
        <rFont val="Calibri"/>
        <family val="2"/>
        <scheme val="minor"/>
      </rPr>
      <t>*Nota: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</si>
  <si>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t>Nómina de Pensionados</t>
  </si>
  <si>
    <t>Movimientos en Nómina</t>
  </si>
  <si>
    <t>Modalidad de Pago</t>
  </si>
  <si>
    <t>Pago de Retroactivos</t>
  </si>
  <si>
    <t>Recuperación de Fondos</t>
  </si>
  <si>
    <t>Cantidad de Cotizantes por Tipo de Empleador</t>
  </si>
  <si>
    <t>Año 2021</t>
  </si>
  <si>
    <t>Estadíticas Trimestre Enero-Marzo</t>
  </si>
  <si>
    <t>Reintegro de Cheques</t>
  </si>
  <si>
    <t>Cantidad 
de Cheques</t>
  </si>
  <si>
    <t xml:space="preserve"> *Estos totales incluyen las nóminas adicionales de regalía de pensionados inactivos.</t>
  </si>
  <si>
    <t>Créditos Rechazados</t>
  </si>
  <si>
    <t xml:space="preserve">Cantidad 
</t>
  </si>
  <si>
    <t>Individualización de aportes por tipo de Empleador</t>
  </si>
  <si>
    <t>Fuente: Boletín Mensual SIPEN</t>
  </si>
  <si>
    <t>Fuente: SIJUPEN</t>
  </si>
  <si>
    <t>Pensión por Sobrevivencia Padre/Madre</t>
  </si>
  <si>
    <t>Modificación de Datos Críticos</t>
  </si>
  <si>
    <t>Sin fecha de nacimiento</t>
  </si>
  <si>
    <t>Presupuesto Programado</t>
  </si>
  <si>
    <t>Presupuesto Ejecutado</t>
  </si>
  <si>
    <t>Cantidad de Traspasos</t>
  </si>
  <si>
    <t>Recibidos (SCI a Reparto)</t>
  </si>
  <si>
    <t>Cedidos (Reparto a SCI)</t>
  </si>
  <si>
    <t>Tipo Cantidad Porcentaje Monto Porcentaje</t>
  </si>
  <si>
    <t>PENSIÓN</t>
  </si>
  <si>
    <t>CIVIL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</si>
  <si>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</si>
  <si>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</si>
  <si>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</si>
  <si>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</si>
  <si>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</si>
  <si>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</si>
  <si>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</si>
  <si>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</si>
  <si>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</si>
  <si>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</si>
  <si>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</si>
  <si>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</si>
  <si>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</si>
  <si>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</si>
  <si>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</si>
  <si>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</si>
  <si>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Cantidad*</t>
  </si>
  <si>
    <t>Menos</t>
  </si>
  <si>
    <t>de</t>
  </si>
  <si>
    <t>RD$5117.50</t>
  </si>
  <si>
    <t>Igual</t>
  </si>
  <si>
    <t>a</t>
  </si>
  <si>
    <t>RD$5117.51</t>
  </si>
  <si>
    <t>-</t>
  </si>
  <si>
    <t>con</t>
  </si>
  <si>
    <t>Nacimiento</t>
  </si>
  <si>
    <t>Cantidad 
(Var Absoluta)</t>
  </si>
  <si>
    <t>Monto
(Var Absoluta)</t>
  </si>
  <si>
    <t>Porcentaje
(Var Porcentual)</t>
  </si>
  <si>
    <t>Trimestre Abril-Junio
Al 30 de Junio 2021</t>
  </si>
  <si>
    <t>Estadíticas Trimestre Abril-Junio</t>
  </si>
  <si>
    <t>Afiliados y Cotizantes</t>
  </si>
  <si>
    <t>Enero-Abril 2021</t>
  </si>
  <si>
    <t>Abril-Junio 2020</t>
  </si>
  <si>
    <t>Ajuste de Partidas Devengadas</t>
  </si>
  <si>
    <t>Programación Total</t>
  </si>
  <si>
    <t>Programación Presupuestaria</t>
  </si>
  <si>
    <t>Programación Ordinaria (RD$)</t>
  </si>
  <si>
    <t>Ejecución Presupuestaria</t>
  </si>
  <si>
    <t xml:space="preserve"> Ejecutado</t>
  </si>
  <si>
    <t>Pensiones Civiles</t>
  </si>
  <si>
    <t>Regalia</t>
  </si>
  <si>
    <t>Fuente: Boletín Mensual SIPEN y UNIPAGO</t>
  </si>
  <si>
    <t>Estadísticas Trimestre Enero-Marzo</t>
  </si>
  <si>
    <t>Año 2022</t>
  </si>
  <si>
    <t>Nóminas Autoseguro</t>
  </si>
  <si>
    <t>Estadísticas Trimestre</t>
  </si>
  <si>
    <t>Nómina Mensual Discapacidad Civil</t>
  </si>
  <si>
    <t>Nómina Mensual Sobrevivencia Civil</t>
  </si>
  <si>
    <t>Nómina Mensual Sobrevivencia Policía</t>
  </si>
  <si>
    <t>Cantidad Beneficiarios</t>
  </si>
  <si>
    <t>Monto Bruto
(RD$)</t>
  </si>
  <si>
    <t>AFP
(RD$)</t>
  </si>
  <si>
    <t>SFS
(RD$)</t>
  </si>
  <si>
    <t>Monto Neto
(RD$)</t>
  </si>
  <si>
    <t>Promedio 1er Trimestre</t>
  </si>
  <si>
    <t>Marzo*</t>
  </si>
  <si>
    <t>*Datos Proyectados</t>
  </si>
  <si>
    <t>Promedio
1er Trimestre</t>
  </si>
  <si>
    <t>Afiliados Policia Nacional</t>
  </si>
  <si>
    <t>*Nota: Para el calculo de las variaciones de Enero, se utilizó la cantidad de aportes de Diciembre 2021 (36,251); Para las variaciones del trimestre, el total de aportes correspondientes al Trimestre Octubre-Diciembre 2021 (T4) (102,462).</t>
  </si>
  <si>
    <t>Trimestre Enero- Marzo
Al 31 de Marzo 2022</t>
  </si>
  <si>
    <t>*Datos generados de SIJUPEN al 01 Abril 2022.</t>
  </si>
  <si>
    <t>*Datos generados de SIJUPEN al 01 abril 2022.</t>
  </si>
  <si>
    <t>Fuente: EasyNómina</t>
  </si>
  <si>
    <r>
      <rPr>
        <b/>
        <sz val="7"/>
        <color theme="1"/>
        <rFont val="Calibri"/>
        <family val="2"/>
        <scheme val="minor"/>
      </rPr>
      <t>Nota:</t>
    </r>
    <r>
      <rPr>
        <sz val="7"/>
        <color theme="1"/>
        <rFont val="Calibri"/>
        <family val="2"/>
        <scheme val="minor"/>
      </rPr>
      <t xml:space="preserve"> Sub-ejecución del mes de marzo es debido a la reprogramación para el T2 de la cuota de pago para el incentivo por rendimiento y bonos por desempeño. </t>
    </r>
  </si>
  <si>
    <r>
      <rPr>
        <b/>
        <sz val="7"/>
        <color theme="1"/>
        <rFont val="Calibri"/>
        <family val="2"/>
        <scheme val="minor"/>
      </rPr>
      <t>Nota 1</t>
    </r>
    <r>
      <rPr>
        <sz val="7"/>
        <color theme="1"/>
        <rFont val="Calibri"/>
        <family val="2"/>
        <scheme val="minor"/>
      </rPr>
      <t xml:space="preserve">: Se presenta la información en base a los tramites gestionados dentro del mes por las distintas divisiones del departamento de Gestión Financiera. </t>
    </r>
  </si>
  <si>
    <r>
      <rPr>
        <b/>
        <sz val="7"/>
        <color theme="1"/>
        <rFont val="Calibri"/>
        <family val="2"/>
        <scheme val="minor"/>
      </rPr>
      <t>Nota 2</t>
    </r>
    <r>
      <rPr>
        <sz val="7"/>
        <color theme="1"/>
        <rFont val="Calibri"/>
        <family val="2"/>
        <scheme val="minor"/>
      </rPr>
      <t>: El Monto ejecutado mensual corresponde al pago de nómina del mes, más los retroactivos del mes anterior (T-4), Estos montos están sujetos a variación de acuerdo con la efectividad del pago.</t>
    </r>
  </si>
  <si>
    <t>Fuente: SIGEF, División de Presupuesto de Pensiones</t>
  </si>
  <si>
    <t>Afiliados al Sistema de Reparto</t>
  </si>
  <si>
    <t>Monto Traspasado</t>
  </si>
  <si>
    <t>Nómina Deuda Retroactiva 
Discapacidad Civil</t>
  </si>
  <si>
    <t>Nómina Deuda Retroactiva
Sobrevivencia Civil</t>
  </si>
  <si>
    <t>Nómina Deuda Retroactiva
Sobrevivencia Policía Nacional</t>
  </si>
  <si>
    <t>Fuente: División de Nómina</t>
  </si>
  <si>
    <t>Trimestre Enero-Marzo
Al 31 de Marzo 2021</t>
  </si>
  <si>
    <r>
      <t>*</t>
    </r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No incluye los pensionados de la Policía Nacional, el pico en las variaciones del trimestre son producto de la nivelación de pensiones a 10,000RD$.</t>
    </r>
  </si>
  <si>
    <r>
      <rPr>
        <b/>
        <sz val="8"/>
        <rFont val="Calibri"/>
        <family val="2"/>
        <scheme val="minor"/>
      </rPr>
      <t>*Nota 2</t>
    </r>
    <r>
      <rPr>
        <sz val="8"/>
        <rFont val="Calibri"/>
        <family val="2"/>
        <scheme val="minor"/>
      </rPr>
      <t>: Incluye los montos y cantidad de Pensiones Solidarias.</t>
    </r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</si>
  <si>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Aumento en los ajustes del mes de enero se debe a la nivelación de pensiones a 10,000RD$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</si>
</sst>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346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Fill="1" applyBorder="1" applyAlignment="1" applyProtection="1">
      <alignment horizontal="center" vertical="center"/>
    </xf>
    <xf numFmtId="9" fontId="7" fillId="7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9" fontId="3" fillId="7" borderId="0" xfId="0" applyNumberFormat="1" applyFont="1" applyFill="1" applyBorder="1" applyAlignment="1" applyProtection="1">
      <alignment horizontal="center" vertical="center"/>
    </xf>
    <xf numFmtId="9" fontId="3" fillId="10" borderId="0" xfId="0" applyNumberFormat="1" applyFont="1" applyFill="1" applyBorder="1" applyAlignment="1" applyProtection="1">
      <alignment horizontal="center" vertical="center"/>
    </xf>
    <xf numFmtId="9" fontId="7" fillId="10" borderId="0" xfId="0" applyNumberFormat="1" applyFont="1" applyFill="1" applyBorder="1" applyAlignment="1" applyProtection="1">
      <alignment horizontal="center" vertical="center"/>
    </xf>
    <xf numFmtId="3" fontId="6" fillId="7" borderId="0" xfId="0" applyNumberFormat="1" applyFont="1" applyFill="1" applyBorder="1" applyAlignment="1" applyProtection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/>
      <protection locked="0"/>
    </xf>
    <xf numFmtId="165" fontId="6" fillId="7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3" fontId="6" fillId="10" borderId="0" xfId="0" applyNumberFormat="1" applyFont="1" applyFill="1" applyBorder="1" applyAlignment="1" applyProtection="1">
      <alignment horizontal="left" vertical="center" wrapText="1"/>
    </xf>
    <xf numFmtId="9" fontId="2" fillId="9" borderId="0" xfId="1" applyFont="1" applyFill="1" applyAlignment="1" applyProtection="1">
      <alignment horizontal="center"/>
    </xf>
    <xf numFmtId="0" fontId="2" fillId="9" borderId="0" xfId="0" applyFont="1" applyFill="1" applyProtection="1"/>
    <xf numFmtId="3" fontId="3" fillId="0" borderId="0" xfId="0" applyNumberFormat="1" applyFon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 wrapText="1"/>
    </xf>
    <xf numFmtId="0" fontId="6" fillId="10" borderId="0" xfId="0" applyFont="1" applyFill="1" applyBorder="1" applyAlignment="1" applyProtection="1">
      <alignment horizontal="center" vertical="center" wrapText="1"/>
    </xf>
    <xf numFmtId="0" fontId="0" fillId="10" borderId="0" xfId="0" applyFill="1" applyProtection="1"/>
    <xf numFmtId="0" fontId="4" fillId="0" borderId="0" xfId="0" applyFont="1" applyBorder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5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3" fontId="8" fillId="0" borderId="0" xfId="0" applyNumberFormat="1" applyFont="1" applyBorder="1" applyAlignment="1" applyProtection="1">
      <alignment horizontal="center" vertical="top"/>
      <protection locked="0"/>
    </xf>
    <xf numFmtId="4" fontId="8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vertical="center"/>
    </xf>
    <xf numFmtId="37" fontId="12" fillId="7" borderId="0" xfId="2" applyNumberFormat="1" applyFont="1" applyFill="1" applyBorder="1" applyAlignment="1" applyProtection="1">
      <alignment horizontal="right" vertical="center"/>
    </xf>
    <xf numFmtId="43" fontId="3" fillId="0" borderId="0" xfId="2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vertical="center"/>
    </xf>
    <xf numFmtId="37" fontId="12" fillId="10" borderId="0" xfId="2" applyNumberFormat="1" applyFont="1" applyFill="1" applyBorder="1" applyAlignment="1" applyProtection="1">
      <alignment horizontal="right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6" fillId="10" borderId="0" xfId="0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 vertical="top"/>
    </xf>
    <xf numFmtId="9" fontId="0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Border="1" applyAlignment="1" applyProtection="1">
      <alignment horizontal="center" vertical="center"/>
    </xf>
    <xf numFmtId="3" fontId="17" fillId="7" borderId="0" xfId="0" applyNumberFormat="1" applyFont="1" applyFill="1" applyBorder="1" applyAlignment="1" applyProtection="1">
      <alignment horizontal="center" vertical="center"/>
    </xf>
    <xf numFmtId="165" fontId="0" fillId="1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13" borderId="0" xfId="0" applyFill="1" applyAlignment="1" applyProtection="1">
      <protection locked="0"/>
    </xf>
    <xf numFmtId="10" fontId="8" fillId="0" borderId="0" xfId="1" applyNumberFormat="1" applyFont="1" applyBorder="1" applyAlignment="1" applyProtection="1">
      <alignment horizontal="center" vertical="top"/>
    </xf>
    <xf numFmtId="10" fontId="8" fillId="12" borderId="0" xfId="1" applyNumberFormat="1" applyFont="1" applyFill="1" applyBorder="1" applyAlignment="1" applyProtection="1">
      <alignment horizontal="center" vertical="top"/>
    </xf>
    <xf numFmtId="10" fontId="8" fillId="0" borderId="0" xfId="1" applyNumberFormat="1" applyFont="1" applyFill="1" applyBorder="1" applyAlignment="1" applyProtection="1">
      <alignment horizontal="center" vertical="top"/>
    </xf>
    <xf numFmtId="10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3" fillId="5" borderId="0" xfId="0" applyFont="1" applyFill="1" applyBorder="1" applyAlignment="1" applyProtection="1">
      <alignment horizontal="left" vertical="center"/>
    </xf>
    <xf numFmtId="10" fontId="6" fillId="7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NumberFormat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 applyProtection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vertical="top"/>
    </xf>
    <xf numFmtId="0" fontId="6" fillId="7" borderId="11" xfId="0" applyFont="1" applyFill="1" applyBorder="1" applyAlignment="1" applyProtection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10" xfId="0" applyFont="1" applyFill="1" applyBorder="1" applyAlignment="1" applyProtection="1">
      <alignment vertical="center"/>
    </xf>
    <xf numFmtId="166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0" fontId="0" fillId="0" borderId="5" xfId="1" applyNumberFormat="1" applyFont="1" applyBorder="1" applyAlignment="1" applyProtection="1">
      <alignment horizontal="center"/>
    </xf>
    <xf numFmtId="10" fontId="0" fillId="0" borderId="5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2" fillId="0" borderId="10" xfId="0" applyFont="1" applyFill="1" applyBorder="1" applyAlignment="1" applyProtection="1">
      <alignment horizontal="center" vertical="center"/>
    </xf>
    <xf numFmtId="166" fontId="2" fillId="12" borderId="10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9" fontId="0" fillId="12" borderId="5" xfId="1" applyNumberFormat="1" applyFon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0" fontId="8" fillId="0" borderId="5" xfId="1" applyNumberFormat="1" applyFont="1" applyBorder="1" applyAlignment="1" applyProtection="1">
      <alignment horizontal="center" vertical="top"/>
    </xf>
    <xf numFmtId="10" fontId="8" fillId="0" borderId="5" xfId="1" applyNumberFormat="1" applyFont="1" applyFill="1" applyBorder="1" applyAlignment="1" applyProtection="1">
      <alignment horizontal="center" vertical="top"/>
    </xf>
    <xf numFmtId="43" fontId="0" fillId="0" borderId="0" xfId="2" applyFont="1" applyProtection="1">
      <protection locked="0"/>
    </xf>
    <xf numFmtId="164" fontId="0" fillId="0" borderId="0" xfId="1" applyNumberFormat="1" applyFont="1" applyBorder="1" applyAlignment="1" applyProtection="1">
      <alignment horizontal="center"/>
    </xf>
    <xf numFmtId="165" fontId="4" fillId="0" borderId="0" xfId="2" applyNumberFormat="1" applyFont="1" applyBorder="1" applyAlignment="1" applyProtection="1">
      <alignment horizontal="center"/>
    </xf>
    <xf numFmtId="43" fontId="3" fillId="0" borderId="0" xfId="2" applyNumberFormat="1" applyFont="1" applyFill="1" applyBorder="1" applyAlignment="1" applyProtection="1">
      <alignment horizontal="center" vertical="center"/>
    </xf>
    <xf numFmtId="165" fontId="17" fillId="7" borderId="0" xfId="0" applyNumberFormat="1" applyFont="1" applyFill="1" applyBorder="1" applyAlignment="1" applyProtection="1">
      <alignment horizontal="center" vertical="center"/>
    </xf>
    <xf numFmtId="165" fontId="24" fillId="0" borderId="0" xfId="2" applyNumberFormat="1" applyFont="1" applyFill="1" applyBorder="1" applyAlignment="1" applyProtection="1">
      <alignment horizontal="center" vertical="center"/>
    </xf>
    <xf numFmtId="165" fontId="17" fillId="7" borderId="0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9" fillId="0" borderId="0" xfId="0" applyNumberFormat="1" applyFont="1" applyAlignment="1" applyProtection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vertical="center"/>
    </xf>
    <xf numFmtId="0" fontId="27" fillId="0" borderId="0" xfId="0" applyFont="1" applyProtection="1"/>
    <xf numFmtId="0" fontId="14" fillId="0" borderId="0" xfId="0" applyFont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 wrapText="1"/>
    </xf>
    <xf numFmtId="0" fontId="2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/>
    </xf>
    <xf numFmtId="9" fontId="0" fillId="0" borderId="0" xfId="1" applyFont="1" applyProtection="1"/>
    <xf numFmtId="3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/>
    </xf>
    <xf numFmtId="0" fontId="20" fillId="0" borderId="0" xfId="0" applyFont="1" applyProtection="1"/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26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 vertic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9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0" fillId="0" borderId="0" xfId="0" applyNumberFormat="1" applyProtection="1"/>
    <xf numFmtId="0" fontId="4" fillId="5" borderId="0" xfId="0" applyFont="1" applyFill="1" applyBorder="1" applyProtection="1"/>
    <xf numFmtId="3" fontId="4" fillId="0" borderId="0" xfId="0" applyNumberFormat="1" applyFont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top"/>
    </xf>
    <xf numFmtId="3" fontId="8" fillId="0" borderId="0" xfId="0" applyNumberFormat="1" applyFont="1" applyBorder="1" applyAlignment="1" applyProtection="1">
      <alignment horizontal="center" vertical="top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center"/>
    </xf>
    <xf numFmtId="3" fontId="8" fillId="0" borderId="0" xfId="0" applyNumberFormat="1" applyFont="1" applyAlignment="1" applyProtection="1">
      <alignment horizontal="center" vertical="top"/>
    </xf>
    <xf numFmtId="4" fontId="8" fillId="0" borderId="0" xfId="0" applyNumberFormat="1" applyFont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/>
    </xf>
    <xf numFmtId="4" fontId="8" fillId="0" borderId="0" xfId="0" applyNumberFormat="1" applyFont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center"/>
    </xf>
    <xf numFmtId="4" fontId="0" fillId="0" borderId="0" xfId="0" applyNumberFormat="1" applyProtection="1"/>
    <xf numFmtId="165" fontId="3" fillId="0" borderId="0" xfId="0" applyNumberFormat="1" applyFont="1" applyFill="1" applyBorder="1" applyAlignment="1" applyProtection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0" fontId="2" fillId="9" borderId="0" xfId="1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3" fontId="24" fillId="0" borderId="0" xfId="2" applyNumberFormat="1" applyFont="1" applyBorder="1" applyAlignment="1" applyProtection="1"/>
    <xf numFmtId="3" fontId="4" fillId="0" borderId="0" xfId="2" applyNumberFormat="1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164" fontId="0" fillId="0" borderId="0" xfId="1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5" fontId="30" fillId="0" borderId="0" xfId="2" applyNumberFormat="1" applyFont="1" applyBorder="1" applyAlignment="1" applyProtection="1">
      <protection locked="0"/>
    </xf>
    <xf numFmtId="165" fontId="30" fillId="0" borderId="0" xfId="2" applyNumberFormat="1" applyFont="1" applyBorder="1" applyAlignment="1" applyProtection="1">
      <alignment horizontal="center"/>
      <protection locked="0"/>
    </xf>
    <xf numFmtId="165" fontId="24" fillId="0" borderId="0" xfId="2" applyNumberFormat="1" applyFont="1" applyBorder="1" applyAlignment="1" applyProtection="1">
      <alignment horizontal="center"/>
      <protection locked="0"/>
    </xf>
    <xf numFmtId="0" fontId="29" fillId="14" borderId="0" xfId="0" applyFont="1" applyFill="1" applyProtection="1">
      <protection locked="0"/>
    </xf>
    <xf numFmtId="0" fontId="24" fillId="14" borderId="0" xfId="0" applyFont="1" applyFill="1" applyBorder="1" applyAlignment="1" applyProtection="1">
      <alignment horizontal="left" vertical="center" wrapText="1"/>
    </xf>
    <xf numFmtId="165" fontId="24" fillId="0" borderId="0" xfId="2" applyNumberFormat="1" applyFont="1" applyBorder="1" applyAlignment="1" applyProtection="1">
      <protection locked="0"/>
    </xf>
    <xf numFmtId="165" fontId="16" fillId="14" borderId="0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39" fontId="4" fillId="0" borderId="0" xfId="2" applyNumberFormat="1" applyFont="1" applyBorder="1" applyAlignment="1" applyProtection="1">
      <alignment horizontal="center" vertical="center"/>
      <protection locked="0"/>
    </xf>
    <xf numFmtId="43" fontId="4" fillId="0" borderId="0" xfId="2" applyFont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Border="1" applyAlignment="1" applyProtection="1">
      <alignment vertical="center"/>
    </xf>
    <xf numFmtId="10" fontId="2" fillId="12" borderId="0" xfId="1" applyNumberFormat="1" applyFont="1" applyFill="1" applyAlignment="1" applyProtection="1">
      <alignment horizontal="center"/>
    </xf>
    <xf numFmtId="165" fontId="24" fillId="0" borderId="0" xfId="2" applyNumberFormat="1" applyFont="1" applyBorder="1" applyAlignment="1" applyProtection="1">
      <alignment horizontal="center" vertical="center"/>
      <protection locked="0"/>
    </xf>
    <xf numFmtId="43" fontId="31" fillId="0" borderId="0" xfId="0" applyNumberFormat="1" applyFont="1" applyProtection="1">
      <protection locked="0"/>
    </xf>
    <xf numFmtId="0" fontId="3" fillId="14" borderId="0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 applyProtection="1">
      <alignment horizontal="left" vertical="center"/>
    </xf>
    <xf numFmtId="165" fontId="3" fillId="14" borderId="0" xfId="0" applyNumberFormat="1" applyFont="1" applyFill="1" applyBorder="1" applyAlignment="1" applyProtection="1">
      <alignment horizontal="center" vertical="center" wrapText="1"/>
    </xf>
    <xf numFmtId="43" fontId="3" fillId="14" borderId="0" xfId="0" applyNumberFormat="1" applyFont="1" applyFill="1" applyBorder="1" applyAlignment="1" applyProtection="1">
      <alignment horizontal="center" vertical="center" wrapText="1"/>
    </xf>
    <xf numFmtId="165" fontId="12" fillId="7" borderId="0" xfId="2" applyNumberFormat="1" applyFont="1" applyFill="1" applyBorder="1" applyAlignment="1" applyProtection="1">
      <alignment horizontal="right"/>
    </xf>
    <xf numFmtId="3" fontId="24" fillId="0" borderId="0" xfId="0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 indent="1"/>
    </xf>
    <xf numFmtId="165" fontId="5" fillId="0" borderId="0" xfId="2" applyNumberFormat="1" applyFont="1" applyFill="1" applyBorder="1" applyAlignment="1" applyProtection="1">
      <alignment horizontal="left" vertical="center"/>
    </xf>
    <xf numFmtId="3" fontId="19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12" fillId="14" borderId="0" xfId="0" applyNumberFormat="1" applyFont="1" applyFill="1" applyAlignment="1" applyProtection="1">
      <alignment horizontal="center" vertical="center"/>
      <protection locked="0"/>
    </xf>
    <xf numFmtId="3" fontId="4" fillId="14" borderId="0" xfId="0" applyNumberFormat="1" applyFont="1" applyFill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3" fontId="0" fillId="0" borderId="0" xfId="0" applyNumberFormat="1" applyAlignment="1">
      <alignment horizontal="center" vertical="center"/>
    </xf>
    <xf numFmtId="0" fontId="0" fillId="14" borderId="0" xfId="0" applyFill="1"/>
    <xf numFmtId="3" fontId="32" fillId="7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8" borderId="7" xfId="0" applyFont="1" applyFill="1" applyBorder="1" applyAlignment="1" applyProtection="1">
      <alignment vertical="center" wrapText="1"/>
    </xf>
    <xf numFmtId="3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3" fontId="4" fillId="0" borderId="0" xfId="2" applyNumberFormat="1" applyFont="1" applyBorder="1" applyAlignment="1" applyProtection="1">
      <alignment horizontal="right"/>
      <protection locked="0"/>
    </xf>
    <xf numFmtId="0" fontId="0" fillId="14" borderId="0" xfId="0" applyFill="1" applyProtection="1"/>
    <xf numFmtId="0" fontId="4" fillId="14" borderId="0" xfId="0" applyFont="1" applyFill="1" applyProtection="1"/>
    <xf numFmtId="0" fontId="14" fillId="14" borderId="0" xfId="0" applyFont="1" applyFill="1" applyProtection="1"/>
    <xf numFmtId="0" fontId="14" fillId="14" borderId="0" xfId="0" applyFont="1" applyFill="1" applyProtection="1">
      <protection locked="0"/>
    </xf>
    <xf numFmtId="3" fontId="4" fillId="0" borderId="0" xfId="2" applyNumberFormat="1" applyFont="1" applyBorder="1" applyAlignment="1" applyProtection="1">
      <alignment horizontal="right"/>
    </xf>
    <xf numFmtId="3" fontId="17" fillId="7" borderId="0" xfId="0" applyNumberFormat="1" applyFont="1" applyFill="1" applyBorder="1" applyAlignment="1" applyProtection="1">
      <alignment horizontal="right"/>
    </xf>
    <xf numFmtId="0" fontId="27" fillId="14" borderId="0" xfId="0" applyFont="1" applyFill="1" applyProtection="1"/>
    <xf numFmtId="0" fontId="23" fillId="14" borderId="0" xfId="0" applyFont="1" applyFill="1" applyProtection="1"/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14" borderId="0" xfId="0" applyFill="1" applyAlignment="1">
      <alignment horizontal="left"/>
    </xf>
    <xf numFmtId="0" fontId="23" fillId="14" borderId="0" xfId="0" applyFont="1" applyFill="1"/>
    <xf numFmtId="0" fontId="14" fillId="0" borderId="0" xfId="0" applyFont="1"/>
    <xf numFmtId="3" fontId="6" fillId="10" borderId="0" xfId="0" applyNumberFormat="1" applyFont="1" applyFill="1" applyAlignment="1">
      <alignment horizontal="center" vertical="center"/>
    </xf>
    <xf numFmtId="0" fontId="6" fillId="10" borderId="0" xfId="0" applyFont="1" applyFill="1" applyAlignment="1">
      <alignment horizontal="left" vertical="center" wrapText="1"/>
    </xf>
    <xf numFmtId="3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2" fillId="0" borderId="0" xfId="0" applyFont="1" applyProtection="1">
      <protection locked="0"/>
    </xf>
    <xf numFmtId="3" fontId="12" fillId="7" borderId="0" xfId="0" applyNumberFormat="1" applyFont="1" applyFill="1" applyAlignment="1">
      <alignment horizontal="center" vertical="center"/>
    </xf>
    <xf numFmtId="9" fontId="0" fillId="12" borderId="0" xfId="1" applyFont="1" applyFill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wrapText="1"/>
    </xf>
    <xf numFmtId="0" fontId="27" fillId="0" borderId="0" xfId="0" applyFont="1" applyAlignment="1" applyProtection="1">
      <alignment horizontal="left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0" fontId="2" fillId="11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100">
                <a:solidFill>
                  <a:schemeClr val="accent1"/>
                </a:solidFill>
              </a:rPr>
              <a:t>Programado vs Ejecutado</a:t>
            </a:r>
          </a:p>
        </c:rich>
      </c:tx>
      <c:layout>
        <c:manualLayout>
          <c:xMode val="edge"/>
          <c:yMode val="edge"/>
          <c:x val="0.37079371203792127"/>
          <c:y val="8.17609900934006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-2.6961016252974352E-3"/>
                  <c:y val="0.46239187591900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8.6248125726919988E-3"/>
                  <c:y val="0.25866537737525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1.049188905010401E-3"/>
                  <c:y val="0.23850936195525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Adm.'!$B$10:$B$12</c15:sqref>
                  </c15:fullRef>
                </c:ext>
              </c:extLst>
              <c:f>'Presupuesto Adm.'!$B$10:$B$12</c:f>
              <c:numCache>
                <c:formatCode>#,##0</c:formatCode>
                <c:ptCount val="3"/>
                <c:pt idx="0">
                  <c:v>56970454.710000001</c:v>
                </c:pt>
                <c:pt idx="1">
                  <c:v>32499074.32</c:v>
                </c:pt>
                <c:pt idx="2">
                  <c:v>27162185.039999999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174133629172E-3"/>
                  <c:y val="0.29654002940820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7.0277250115702104E-3"/>
                  <c:y val="0.27802245272669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8370910673185E-3"/>
                  <c:y val="0.22239826228925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Adm.'!$C$10:$C$12</c15:sqref>
                  </c15:fullRef>
                </c:ext>
              </c:extLst>
              <c:f>'Presupuesto Adm.'!$C$10:$C$12</c:f>
              <c:numCache>
                <c:formatCode>#,##0</c:formatCode>
                <c:ptCount val="3"/>
                <c:pt idx="0">
                  <c:v>31201788.780000001</c:v>
                </c:pt>
                <c:pt idx="1">
                  <c:v>30828308.120000001</c:v>
                </c:pt>
                <c:pt idx="2">
                  <c:v>26698552.699999999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5792498357907426E-2"/>
                  <c:y val="-4.233191356768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6.7514523672266388E-2"/>
                  <c:y val="-4.0880495046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3.8596075462199883E-2"/>
                  <c:y val="-3.270439603736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'Presupuesto Adm.'!$A$20:$A$25</c15:sqref>
                  </c15:fullRef>
                </c:ext>
              </c:extLst>
              <c:f>'Presupuesto Adm.'!$A$20:$A$22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Adm.'!$D$10:$D$12</c15:sqref>
                  </c15:fullRef>
                </c:ext>
              </c:extLst>
              <c:f>'Presupuesto Adm.'!$D$10:$D$12</c:f>
              <c:numCache>
                <c:formatCode>0%</c:formatCode>
                <c:ptCount val="3"/>
                <c:pt idx="0">
                  <c:v>0.54768368865630912</c:v>
                </c:pt>
                <c:pt idx="1">
                  <c:v>0.94859034495724681</c:v>
                </c:pt>
                <c:pt idx="2">
                  <c:v>0.98293096305333172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33000</c:v>
                </c:pt>
                <c:pt idx="1">
                  <c:v>33633</c:v>
                </c:pt>
                <c:pt idx="2">
                  <c:v>31672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7.7559880655497029E-3"/>
                  <c:y val="1.4613281051213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3.8779940327748159E-3"/>
                  <c:y val="4.469845759328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2"/>
              <c:layout>
                <c:manualLayout>
                  <c:x val="2.7776948677003897E-3"/>
                  <c:y val="-8.3832449750424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0</c:v>
                </c:pt>
                <c:pt idx="1">
                  <c:v>223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723077954150127E-2"/>
          <c:y val="0.9041337293198819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45065141548664445"/>
          <c:y val="2.0012503875452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Traspaso!$A$8</c:f>
              <c:strCache>
                <c:ptCount val="1"/>
                <c:pt idx="0">
                  <c:v>Marzo*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Traspaso!$D$8</c:f>
              <c:numCache>
                <c:formatCode>#,##0</c:formatCode>
                <c:ptCount val="1"/>
                <c:pt idx="0">
                  <c:v>9773793.9100000001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6-45AA-AADE-47CA6C4D53AA}"/>
            </c:ext>
          </c:extLst>
        </c:ser>
        <c:ser>
          <c:idx val="1"/>
          <c:order val="1"/>
          <c:tx>
            <c:strRef>
              <c:f>Traspaso!$A$9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Traspaso!$D$9</c:f>
              <c:numCache>
                <c:formatCode>#,##0</c:formatCode>
                <c:ptCount val="1"/>
                <c:pt idx="0">
                  <c:v>182155434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6-45AA-AADE-47CA6C4D53AA}"/>
            </c:ext>
          </c:extLst>
        </c:ser>
        <c:ser>
          <c:idx val="2"/>
          <c:order val="2"/>
          <c:tx>
            <c:strRef>
              <c:f>Traspaso!$A$10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Traspaso!$D$7</c:f>
              <c:strCache>
                <c:ptCount val="1"/>
                <c:pt idx="0">
                  <c:v>Monto Traspasado</c:v>
                </c:pt>
              </c:strCache>
            </c:strRef>
          </c:cat>
          <c:val>
            <c:numRef>
              <c:f>Traspaso!$D$10</c:f>
              <c:numCache>
                <c:formatCode>#,##0</c:formatCode>
                <c:ptCount val="1"/>
                <c:pt idx="0">
                  <c:v>13255909.99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6-45AA-AADE-47CA6C4D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/>
                </a:solidFill>
              </a:rPr>
              <a:t>Programado</a:t>
            </a:r>
            <a:r>
              <a:rPr lang="es-ES" sz="800" baseline="0">
                <a:solidFill>
                  <a:schemeClr val="accent1"/>
                </a:solidFill>
              </a:rPr>
              <a:t> vs Ejecutado</a:t>
            </a:r>
            <a:endParaRPr lang="es-ES" sz="800">
              <a:solidFill>
                <a:schemeClr val="accent1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335477608375425E-3"/>
                  <c:y val="0.27659387074931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4.8128392937653777E-3"/>
                  <c:y val="0.32705695017768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3.1158890940771299E-3"/>
                  <c:y val="0.32295433524548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'Presupuesto de Pensiones'!$B$11:$B$13</c:f>
              <c:numCache>
                <c:formatCode>#,##0</c:formatCode>
                <c:ptCount val="3"/>
                <c:pt idx="0">
                  <c:v>2518538976.4299998</c:v>
                </c:pt>
                <c:pt idx="1">
                  <c:v>2476910526.2399998</c:v>
                </c:pt>
                <c:pt idx="2">
                  <c:v>2514699270.3000002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45458235823636E-3"/>
                  <c:y val="0.27098671228958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7541226808994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4.8260215027005858E-3"/>
                  <c:y val="0.243437890040654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'Presupuesto de Pensiones'!$E$11:$E$13</c:f>
              <c:numCache>
                <c:formatCode>#,##0</c:formatCode>
                <c:ptCount val="3"/>
                <c:pt idx="0">
                  <c:v>2519717805.4300003</c:v>
                </c:pt>
                <c:pt idx="1">
                  <c:v>2466412772.4000001</c:v>
                </c:pt>
                <c:pt idx="2">
                  <c:v>2464307812.48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5.7923871618470353E-2"/>
                  <c:y val="2.5658581204141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4.1744797174682338E-2"/>
                  <c:y val="-3.7391650510645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3.4261534787331571E-2"/>
                  <c:y val="-3.543649808201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'Presupuesto de Pensiones'!$F$11:$F$13</c:f>
              <c:numCache>
                <c:formatCode>0%</c:formatCode>
                <c:ptCount val="3"/>
                <c:pt idx="0">
                  <c:v>0.97625653354803743</c:v>
                </c:pt>
                <c:pt idx="1">
                  <c:v>0.97576076863141514</c:v>
                </c:pt>
                <c:pt idx="2">
                  <c:v>0.97996123893813014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</c:valAx>
      <c:valAx>
        <c:axId val="1665026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% Monto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4,835,209,400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3E-45F1-A77D-4A3BE75DB0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Civiles
79%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3E-45F1-A77D-4A3BE75DB0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PN
21%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3E-45F1-A77D-4A3BE75DB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(Nómina!$D$27,Nómina!$J$27)</c:f>
            </c:numRef>
          </c:val>
          <c:extLst>
            <c:ext xmlns:c16="http://schemas.microsoft.com/office/drawing/2014/chart" uri="{C3380CC4-5D6E-409C-BE32-E72D297353CC}">
              <c16:uniqueId val="{00000003-7F3E-45F1-A77D-4A3BE75DB0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Nómina!$B$9:$B$11</c:f>
              <c:numCache>
                <c:formatCode>_(* #,##0_);_(* \(#,##0\);_(* "-"??_);_(@_)</c:formatCode>
                <c:ptCount val="3"/>
                <c:pt idx="0">
                  <c:v>119305</c:v>
                </c:pt>
                <c:pt idx="1">
                  <c:v>118521</c:v>
                </c:pt>
                <c:pt idx="2">
                  <c:v>117786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Nómina!$E$9:$E$11</c:f>
              <c:numCache>
                <c:formatCode>_(* #,##0_);_(* \(#,##0\);_(* "-"??_);_(@_)</c:formatCode>
                <c:ptCount val="3"/>
                <c:pt idx="0">
                  <c:v>18228</c:v>
                </c:pt>
                <c:pt idx="1">
                  <c:v>17792</c:v>
                </c:pt>
                <c:pt idx="2">
                  <c:v>17361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Nómina!$H$9:$H$11</c:f>
              <c:numCache>
                <c:formatCode>_(* #,##0_);_(* \(#,##0\);_(* "-"??_);_(@_)</c:formatCode>
                <c:ptCount val="3"/>
                <c:pt idx="0">
                  <c:v>21354</c:v>
                </c:pt>
                <c:pt idx="1">
                  <c:v>21345</c:v>
                </c:pt>
                <c:pt idx="2">
                  <c:v>21364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Nómina!$C$9:$C$11</c:f>
              <c:numCache>
                <c:formatCode>_(* #,##0_);_(* \(#,##0\);_(* "-"??_);_(@_)</c:formatCode>
                <c:ptCount val="3"/>
                <c:pt idx="0">
                  <c:v>131792</c:v>
                </c:pt>
                <c:pt idx="1">
                  <c:v>131005</c:v>
                </c:pt>
                <c:pt idx="2">
                  <c:v>130214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Nómina!$F$9:$F$11</c:f>
              <c:numCache>
                <c:formatCode>_(* #,##0_);_(* \(#,##0\);_(* "-"??_);_(@_)</c:formatCode>
                <c:ptCount val="3"/>
                <c:pt idx="0">
                  <c:v>18228</c:v>
                </c:pt>
                <c:pt idx="1">
                  <c:v>17792</c:v>
                </c:pt>
                <c:pt idx="2">
                  <c:v>17361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Nómina!$I$9:$I$11</c:f>
              <c:numCache>
                <c:formatCode>_(* #,##0_);_(* \(#,##0\);_(* "-"??_);_(@_)</c:formatCode>
                <c:ptCount val="3"/>
                <c:pt idx="0">
                  <c:v>21421</c:v>
                </c:pt>
                <c:pt idx="1">
                  <c:v>21412</c:v>
                </c:pt>
                <c:pt idx="2">
                  <c:v>21431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Nómina!$D$9:$D$11</c:f>
              <c:numCache>
                <c:formatCode>_(* #,##0_);_(* \(#,##0\);_(* "-"??_);_(@_)</c:formatCode>
                <c:ptCount val="3"/>
                <c:pt idx="0">
                  <c:v>1881434175.2</c:v>
                </c:pt>
                <c:pt idx="1">
                  <c:v>1863465516.28</c:v>
                </c:pt>
                <c:pt idx="2">
                  <c:v>1846336238.48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Nómina!$G$9:$G$11</c:f>
              <c:numCache>
                <c:formatCode>_(* #,##0_);_(* \(#,##0\);_(* "-"??_);_(@_)</c:formatCode>
                <c:ptCount val="3"/>
                <c:pt idx="0">
                  <c:v>109368000</c:v>
                </c:pt>
                <c:pt idx="1">
                  <c:v>106752000</c:v>
                </c:pt>
                <c:pt idx="2">
                  <c:v>104166000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Nómina!$J$9:$J$11</c:f>
              <c:numCache>
                <c:formatCode>_(* #,##0_);_(* \(#,##0\);_(* "-"??_);_(@_)</c:formatCode>
                <c:ptCount val="3"/>
                <c:pt idx="0">
                  <c:v>486276348.66000003</c:v>
                </c:pt>
                <c:pt idx="1">
                  <c:v>482714789.80000001</c:v>
                </c:pt>
                <c:pt idx="2">
                  <c:v>482251099.57999998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 sz="15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Nóminas</a:t>
            </a:r>
            <a:r>
              <a:rPr lang="es-DO" sz="1500"/>
              <a:t> </a:t>
            </a:r>
            <a:r>
              <a:rPr lang="es-DO" sz="15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Autoseguro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16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62-4EF9-A5A4-C734F128131C}"/>
              </c:ext>
            </c:extLst>
          </c:dPt>
          <c:dPt>
            <c:idx val="1"/>
            <c:bubble3D val="0"/>
            <c:explosion val="16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362-4EF9-A5A4-C734F128131C}"/>
              </c:ext>
            </c:extLst>
          </c:dPt>
          <c:dPt>
            <c:idx val="2"/>
            <c:bubble3D val="0"/>
            <c:explosion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362-4EF9-A5A4-C734F128131C}"/>
              </c:ext>
            </c:extLst>
          </c:dPt>
          <c:dLbls>
            <c:dLbl>
              <c:idx val="0"/>
              <c:layout>
                <c:manualLayout>
                  <c:x val="9.7698500891621378E-3"/>
                  <c:y val="-2.3094945959600616E-2"/>
                </c:manualLayout>
              </c:layout>
              <c:tx>
                <c:rich>
                  <a:bodyPr/>
                  <a:lstStyle/>
                  <a:p>
                    <a:fld id="{0C4A1D2A-9CD3-485A-AE38-F1FE4D3AFA3C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 Discapacidad Civil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362-4EF9-A5A4-C734F128131C}"/>
                </c:ext>
              </c:extLst>
            </c:dLbl>
            <c:dLbl>
              <c:idx val="1"/>
              <c:layout>
                <c:manualLayout>
                  <c:x val="0.10011371160368364"/>
                  <c:y val="-4.8737944522147934E-2"/>
                </c:manualLayout>
              </c:layout>
              <c:tx>
                <c:rich>
                  <a:bodyPr/>
                  <a:lstStyle/>
                  <a:p>
                    <a:fld id="{43E55A16-BD5A-450F-BD3A-DCC0ED6E63E1}" type="VALUE">
                      <a:rPr lang="en-US"/>
                      <a:pPr/>
                      <a:t>[VALOR]</a:t>
                    </a:fld>
                    <a:r>
                      <a:rPr lang="en-US"/>
                      <a:t> Sobrevivencia</a:t>
                    </a:r>
                    <a:r>
                      <a:rPr lang="en-US" baseline="0"/>
                      <a:t> Civil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362-4EF9-A5A4-C734F128131C}"/>
                </c:ext>
              </c:extLst>
            </c:dLbl>
            <c:dLbl>
              <c:idx val="2"/>
              <c:layout>
                <c:manualLayout>
                  <c:x val="-1.3628095207058157E-2"/>
                  <c:y val="-5.8490926495782677E-2"/>
                </c:manualLayout>
              </c:layout>
              <c:tx>
                <c:rich>
                  <a:bodyPr/>
                  <a:lstStyle/>
                  <a:p>
                    <a:fld id="{BA9ACFB4-85D8-457E-A3D6-EB7EF9E2B459}" type="VALUE">
                      <a:rPr lang="en-US"/>
                      <a:pPr/>
                      <a:t>[VALOR]</a:t>
                    </a:fld>
                    <a:r>
                      <a:rPr lang="en-US"/>
                      <a:t> Sobrevivencia</a:t>
                    </a:r>
                    <a:r>
                      <a:rPr lang="en-US" baseline="0"/>
                      <a:t> PN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362-4EF9-A5A4-C734F12813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(Autoseguro!$C$12,Autoseguro!$H$12,Autoseguro!$J$12)</c:f>
              <c:numCache>
                <c:formatCode>0%</c:formatCode>
                <c:ptCount val="3"/>
                <c:pt idx="0">
                  <c:v>0.15662652454088691</c:v>
                </c:pt>
                <c:pt idx="1">
                  <c:v>0.56524061428780037</c:v>
                </c:pt>
                <c:pt idx="2">
                  <c:v>0.27813286117131258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62-4EF9-A5A4-C734F128131C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E362-4EF9-A5A4-C734F1281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E362-4EF9-A5A4-C734F128131C}"/>
            </c:ext>
          </c:extLst>
        </c:ser>
        <c:ser>
          <c:idx val="2"/>
          <c:order val="2"/>
          <c:tx>
            <c:strRef>
              <c:f>Autoseguro!$B$6</c:f>
              <c:strCache>
                <c:ptCount val="1"/>
                <c:pt idx="0">
                  <c:v>Nómina Mensual Discapacidad Civil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362-4EF9-A5A4-C734F1281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E362-4EF9-A5A4-C734F12813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Pensiones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8485851887606E-3"/>
                  <c:y val="0.208286459483824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8F-409D-B8DA-00FECF4961CB}"/>
                </c:ext>
              </c:extLst>
            </c:dLbl>
            <c:dLbl>
              <c:idx val="1"/>
              <c:layout>
                <c:manualLayout>
                  <c:x val="-2.4868485851888061E-3"/>
                  <c:y val="0.227813315060433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8F-409D-B8DA-00FECF4961CB}"/>
                </c:ext>
              </c:extLst>
            </c:dLbl>
            <c:dLbl>
              <c:idx val="2"/>
              <c:layout>
                <c:manualLayout>
                  <c:x val="0"/>
                  <c:y val="0.23432226691930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Movimientos!$B$9:$B$11</c:f>
              <c:numCache>
                <c:formatCode>#,##0</c:formatCode>
                <c:ptCount val="3"/>
                <c:pt idx="0">
                  <c:v>2941</c:v>
                </c:pt>
                <c:pt idx="1">
                  <c:v>1787</c:v>
                </c:pt>
                <c:pt idx="2">
                  <c:v>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8548109438340837E-6"/>
                  <c:y val="0.205203641008343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8F-409D-B8DA-00FECF4961CB}"/>
                </c:ext>
              </c:extLst>
            </c:dLbl>
            <c:dLbl>
              <c:idx val="1"/>
              <c:layout>
                <c:manualLayout>
                  <c:x val="4.6290120230386292E-3"/>
                  <c:y val="0.17354873043055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8F-409D-B8DA-00FECF4961CB}"/>
                </c:ext>
              </c:extLst>
            </c:dLbl>
            <c:dLbl>
              <c:idx val="2"/>
              <c:layout>
                <c:manualLayout>
                  <c:x val="4.3802054863898806E-6"/>
                  <c:y val="0.225620401821153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Movimientos!$D$9:$D$11</c:f>
              <c:numCache>
                <c:formatCode>#,##0</c:formatCode>
                <c:ptCount val="3"/>
                <c:pt idx="0">
                  <c:v>118</c:v>
                </c:pt>
                <c:pt idx="1">
                  <c:v>30</c:v>
                </c:pt>
                <c:pt idx="2">
                  <c:v>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8225065204834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8F-409D-B8DA-00FECF4961CB}"/>
                </c:ext>
              </c:extLst>
            </c:dLbl>
            <c:dLbl>
              <c:idx val="1"/>
              <c:layout>
                <c:manualLayout>
                  <c:x val="0"/>
                  <c:y val="0.20177750762495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88759603907216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Movimientos!$F$9:$F$11</c:f>
              <c:numCache>
                <c:formatCode>#,##0</c:formatCode>
                <c:ptCount val="3"/>
                <c:pt idx="0">
                  <c:v>484</c:v>
                </c:pt>
                <c:pt idx="1">
                  <c:v>423</c:v>
                </c:pt>
                <c:pt idx="2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244600264367010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8F-409D-B8DA-00FECF4961CB}"/>
                </c:ext>
              </c:extLst>
            </c:dLbl>
            <c:dLbl>
              <c:idx val="1"/>
              <c:layout>
                <c:manualLayout>
                  <c:x val="2.4868485851887606E-3"/>
                  <c:y val="0.17574170018947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75741700189477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Movimientos!$H$9:$H$11</c:f>
              <c:numCache>
                <c:formatCode>#,##0</c:formatCode>
                <c:ptCount val="3"/>
                <c:pt idx="0">
                  <c:v>1225</c:v>
                </c:pt>
                <c:pt idx="1">
                  <c:v>161</c:v>
                </c:pt>
                <c:pt idx="2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54-4B02-BE0A-FF69FF46AF7C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54-4B02-BE0A-FF69FF46AF7C}"/>
                </c:ext>
              </c:extLst>
            </c:dLbl>
            <c:dLbl>
              <c:idx val="2"/>
              <c:layout>
                <c:manualLayout>
                  <c:x val="-9.4815498035064744E-17"/>
                  <c:y val="0.26740336645910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94008</c:v>
                </c:pt>
                <c:pt idx="1">
                  <c:v>94100</c:v>
                </c:pt>
                <c:pt idx="2">
                  <c:v>93880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4-4B02-BE0A-FF69FF46AF7C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54-4B02-BE0A-FF69FF46AF7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54-4B02-BE0A-FF69FF46AF7C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Cotizantes'!$C$7:$C$9</c:f>
              <c:numCache>
                <c:formatCode>#,##0</c:formatCode>
                <c:ptCount val="3"/>
                <c:pt idx="0">
                  <c:v>30010</c:v>
                </c:pt>
                <c:pt idx="1">
                  <c:v>29798</c:v>
                </c:pt>
                <c:pt idx="2">
                  <c:v>29751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854-4B02-BE0A-FF69FF46AF7C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54-4B02-BE0A-FF69FF46AF7C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0.31922815079567696</c:v>
                </c:pt>
                <c:pt idx="1">
                  <c:v>0.31666312433581295</c:v>
                </c:pt>
                <c:pt idx="2">
                  <c:v>0.31690455901150405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Monto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909372692307E-3"/>
                  <c:y val="0.302564285770624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FF-4828-BAD6-C3A255569C39}"/>
                </c:ext>
              </c:extLst>
            </c:dLbl>
            <c:dLbl>
              <c:idx val="1"/>
              <c:layout>
                <c:manualLayout>
                  <c:x val="-2.4869093726923282E-3"/>
                  <c:y val="0.32209069857753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859965750135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Movimientos!$C$9:$C$11</c:f>
              <c:numCache>
                <c:formatCode>#,##0</c:formatCode>
                <c:ptCount val="3"/>
                <c:pt idx="0">
                  <c:v>35613107.460000001</c:v>
                </c:pt>
                <c:pt idx="1">
                  <c:v>27896318.800000001</c:v>
                </c:pt>
                <c:pt idx="2">
                  <c:v>30744663.449999999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233312007718793E-3"/>
                  <c:y val="0.33483534129465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FF-4828-BAD6-C3A255569C39}"/>
                </c:ext>
              </c:extLst>
            </c:dLbl>
            <c:dLbl>
              <c:idx val="1"/>
              <c:layout>
                <c:manualLayout>
                  <c:x val="0"/>
                  <c:y val="0.297288080703852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FF-4828-BAD6-C3A255569C39}"/>
                </c:ext>
              </c:extLst>
            </c:dLbl>
            <c:dLbl>
              <c:idx val="2"/>
              <c:layout>
                <c:manualLayout>
                  <c:x val="2.322342527936185E-3"/>
                  <c:y val="0.28454390195129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Movimientos!$E$9:$E$11</c:f>
              <c:numCache>
                <c:formatCode>#,##0</c:formatCode>
                <c:ptCount val="3"/>
                <c:pt idx="0">
                  <c:v>3790433.8499999996</c:v>
                </c:pt>
                <c:pt idx="1">
                  <c:v>291757.68</c:v>
                </c:pt>
                <c:pt idx="2">
                  <c:v>179403978.96000001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30599020014039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AFF-4828-BAD6-C3A255569C39}"/>
                </c:ext>
              </c:extLst>
            </c:dLbl>
            <c:dLbl>
              <c:idx val="1"/>
              <c:layout>
                <c:manualLayout>
                  <c:x val="-2.3145060115193996E-3"/>
                  <c:y val="0.331409426924884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AFF-4828-BAD6-C3A255569C39}"/>
                </c:ext>
              </c:extLst>
            </c:dLbl>
            <c:dLbl>
              <c:idx val="2"/>
              <c:layout>
                <c:manualLayout>
                  <c:x val="-8.4864240063431912E-17"/>
                  <c:y val="0.3124991590642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Movimientos!$G$9:$G$11</c:f>
              <c:numCache>
                <c:formatCode>#,##0</c:formatCode>
                <c:ptCount val="3"/>
                <c:pt idx="0">
                  <c:v>5522220.6500000004</c:v>
                </c:pt>
                <c:pt idx="1">
                  <c:v>5577466.4299999997</c:v>
                </c:pt>
                <c:pt idx="2">
                  <c:v>3580963.2600000002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2432120031715956E-17"/>
                  <c:y val="0.31530846452318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AFF-4828-BAD6-C3A255569C39}"/>
                </c:ext>
              </c:extLst>
            </c:dLbl>
            <c:dLbl>
              <c:idx val="1"/>
              <c:layout>
                <c:manualLayout>
                  <c:x val="4.8014153842116424E-3"/>
                  <c:y val="0.311265941242599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305064126862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Movimientos!$I$9:$I$11</c:f>
              <c:numCache>
                <c:formatCode>#,##0</c:formatCode>
                <c:ptCount val="3"/>
                <c:pt idx="0">
                  <c:v>9735102.879999999</c:v>
                </c:pt>
                <c:pt idx="1">
                  <c:v>2431642.0299999998</c:v>
                </c:pt>
                <c:pt idx="2">
                  <c:v>4418762.09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5616"/>
        <c:axId val="1670809952"/>
      </c:barChart>
      <c:catAx>
        <c:axId val="166502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 por Tipo de Pensión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Pension'!$B$9:$B$17</c:f>
              <c:numCache>
                <c:formatCode>#,##0</c:formatCode>
                <c:ptCount val="9"/>
                <c:pt idx="0">
                  <c:v>31019</c:v>
                </c:pt>
                <c:pt idx="1">
                  <c:v>59255</c:v>
                </c:pt>
                <c:pt idx="2">
                  <c:v>276</c:v>
                </c:pt>
                <c:pt idx="3">
                  <c:v>164</c:v>
                </c:pt>
                <c:pt idx="4">
                  <c:v>304</c:v>
                </c:pt>
                <c:pt idx="5">
                  <c:v>18929</c:v>
                </c:pt>
                <c:pt idx="6">
                  <c:v>21161</c:v>
                </c:pt>
                <c:pt idx="7">
                  <c:v>10167</c:v>
                </c:pt>
                <c:pt idx="8">
                  <c:v>17066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v>Enero-Marzo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Pension'!$F$9:$F$17</c:f>
              <c:numCache>
                <c:formatCode>#,##0</c:formatCode>
                <c:ptCount val="9"/>
                <c:pt idx="0">
                  <c:v>31103</c:v>
                </c:pt>
                <c:pt idx="1">
                  <c:v>61220</c:v>
                </c:pt>
                <c:pt idx="2">
                  <c:v>266</c:v>
                </c:pt>
                <c:pt idx="3">
                  <c:v>154</c:v>
                </c:pt>
                <c:pt idx="4">
                  <c:v>257</c:v>
                </c:pt>
                <c:pt idx="5">
                  <c:v>20523</c:v>
                </c:pt>
                <c:pt idx="6">
                  <c:v>21421</c:v>
                </c:pt>
                <c:pt idx="7">
                  <c:v>18228</c:v>
                </c:pt>
                <c:pt idx="8">
                  <c:v>18269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97366905261974"/>
          <c:y val="0.8993319686340091"/>
          <c:w val="0.64265757475713148"/>
          <c:h val="6.829253681119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Pension'!$D$9:$D$17</c:f>
              <c:numCache>
                <c:formatCode>#,##0</c:formatCode>
                <c:ptCount val="9"/>
                <c:pt idx="0">
                  <c:v>1173442137.0700002</c:v>
                </c:pt>
                <c:pt idx="1">
                  <c:v>1519841427.98</c:v>
                </c:pt>
                <c:pt idx="2">
                  <c:v>14051194.5</c:v>
                </c:pt>
                <c:pt idx="3">
                  <c:v>13794113.449999999</c:v>
                </c:pt>
                <c:pt idx="4">
                  <c:v>24475306.240000002</c:v>
                </c:pt>
                <c:pt idx="5">
                  <c:v>1270376143.8499999</c:v>
                </c:pt>
                <c:pt idx="6">
                  <c:v>1349942285</c:v>
                </c:pt>
                <c:pt idx="7">
                  <c:v>182934000</c:v>
                </c:pt>
                <c:pt idx="8">
                  <c:v>521272530.97000003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v>Enero-Marzo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Pension'!$H$9:$H$17</c:f>
              <c:numCache>
                <c:formatCode>#,##0</c:formatCode>
                <c:ptCount val="9"/>
                <c:pt idx="0">
                  <c:v>1368632905.6900001</c:v>
                </c:pt>
                <c:pt idx="1">
                  <c:v>1883566164.0599999</c:v>
                </c:pt>
                <c:pt idx="2">
                  <c:v>13460123.25</c:v>
                </c:pt>
                <c:pt idx="3">
                  <c:v>13542287.620000001</c:v>
                </c:pt>
                <c:pt idx="4">
                  <c:v>22664903.100000001</c:v>
                </c:pt>
                <c:pt idx="5">
                  <c:v>1623729475.97</c:v>
                </c:pt>
                <c:pt idx="6">
                  <c:v>1451242238.04</c:v>
                </c:pt>
                <c:pt idx="7">
                  <c:v>320286000</c:v>
                </c:pt>
                <c:pt idx="8">
                  <c:v>665640070.26999998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Pension'!$B$32:$B$44</c:f>
              <c:numCache>
                <c:formatCode>#,##0</c:formatCode>
                <c:ptCount val="13"/>
                <c:pt idx="0">
                  <c:v>45</c:v>
                </c:pt>
                <c:pt idx="1">
                  <c:v>1</c:v>
                </c:pt>
                <c:pt idx="2">
                  <c:v>102804</c:v>
                </c:pt>
                <c:pt idx="3">
                  <c:v>19649</c:v>
                </c:pt>
                <c:pt idx="4">
                  <c:v>6559</c:v>
                </c:pt>
                <c:pt idx="5">
                  <c:v>3631</c:v>
                </c:pt>
                <c:pt idx="6">
                  <c:v>2221</c:v>
                </c:pt>
                <c:pt idx="7">
                  <c:v>1221</c:v>
                </c:pt>
                <c:pt idx="8">
                  <c:v>264</c:v>
                </c:pt>
                <c:pt idx="9">
                  <c:v>185</c:v>
                </c:pt>
                <c:pt idx="10">
                  <c:v>254</c:v>
                </c:pt>
                <c:pt idx="11">
                  <c:v>299</c:v>
                </c:pt>
                <c:pt idx="1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v>Enero-Marzo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Pension'!$F$32:$F$44</c:f>
              <c:numCache>
                <c:formatCode>#,##0</c:formatCode>
                <c:ptCount val="13"/>
                <c:pt idx="0">
                  <c:v>37</c:v>
                </c:pt>
                <c:pt idx="1">
                  <c:v>1</c:v>
                </c:pt>
                <c:pt idx="2">
                  <c:v>18248</c:v>
                </c:pt>
                <c:pt idx="3">
                  <c:v>114775</c:v>
                </c:pt>
                <c:pt idx="4">
                  <c:v>6704</c:v>
                </c:pt>
                <c:pt idx="5">
                  <c:v>3603</c:v>
                </c:pt>
                <c:pt idx="6">
                  <c:v>2002</c:v>
                </c:pt>
                <c:pt idx="7">
                  <c:v>2387</c:v>
                </c:pt>
                <c:pt idx="8">
                  <c:v>767</c:v>
                </c:pt>
                <c:pt idx="9">
                  <c:v>399</c:v>
                </c:pt>
                <c:pt idx="10">
                  <c:v>405</c:v>
                </c:pt>
                <c:pt idx="11">
                  <c:v>320</c:v>
                </c:pt>
                <c:pt idx="12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Pension'!$D$32:$D$44</c:f>
              <c:numCache>
                <c:formatCode>#,##0.00</c:formatCode>
                <c:ptCount val="13"/>
                <c:pt idx="0">
                  <c:v>532989.91</c:v>
                </c:pt>
                <c:pt idx="1">
                  <c:v>15352.5</c:v>
                </c:pt>
                <c:pt idx="2">
                  <c:v>2418261896.7399998</c:v>
                </c:pt>
                <c:pt idx="3">
                  <c:v>708949871.52999997</c:v>
                </c:pt>
                <c:pt idx="4">
                  <c:v>483159209.02999997</c:v>
                </c:pt>
                <c:pt idx="5">
                  <c:v>365983320.5</c:v>
                </c:pt>
                <c:pt idx="6">
                  <c:v>290375508.15000004</c:v>
                </c:pt>
                <c:pt idx="7">
                  <c:v>192054293.13999999</c:v>
                </c:pt>
                <c:pt idx="8">
                  <c:v>49155833.020000003</c:v>
                </c:pt>
                <c:pt idx="9">
                  <c:v>41176405.170000002</c:v>
                </c:pt>
                <c:pt idx="10">
                  <c:v>63409503.49000001</c:v>
                </c:pt>
                <c:pt idx="11">
                  <c:v>85900590.050000012</c:v>
                </c:pt>
                <c:pt idx="12">
                  <c:v>21212080.800000001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v>Enero-Marzo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Pension'!$H$32:$H$44</c:f>
              <c:numCache>
                <c:formatCode>#,##0</c:formatCode>
                <c:ptCount val="13"/>
                <c:pt idx="0">
                  <c:v>515546.37</c:v>
                </c:pt>
                <c:pt idx="1">
                  <c:v>10235</c:v>
                </c:pt>
                <c:pt idx="2">
                  <c:v>320667997.75</c:v>
                </c:pt>
                <c:pt idx="3">
                  <c:v>3566111614.25</c:v>
                </c:pt>
                <c:pt idx="4">
                  <c:v>483581746.31</c:v>
                </c:pt>
                <c:pt idx="5">
                  <c:v>359234657.25999999</c:v>
                </c:pt>
                <c:pt idx="6">
                  <c:v>255220751.20000002</c:v>
                </c:pt>
                <c:pt idx="7">
                  <c:v>358526631.28999996</c:v>
                </c:pt>
                <c:pt idx="8">
                  <c:v>144852887.40000001</c:v>
                </c:pt>
                <c:pt idx="9">
                  <c:v>86041751.370000005</c:v>
                </c:pt>
                <c:pt idx="10">
                  <c:v>98152950.609999999</c:v>
                </c:pt>
                <c:pt idx="11">
                  <c:v>91831318.870000005</c:v>
                </c:pt>
                <c:pt idx="12">
                  <c:v>146773842.28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5485564304461"/>
          <c:y val="0.89405975544116423"/>
          <c:w val="0.61224562554680662"/>
          <c:h val="7.8152782903344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Pension'!$A$54:$A$64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Pension'!$B$55:$B$64</c:f>
              <c:numCache>
                <c:formatCode>#,##0</c:formatCode>
                <c:ptCount val="10"/>
                <c:pt idx="0">
                  <c:v>8</c:v>
                </c:pt>
                <c:pt idx="1">
                  <c:v>86</c:v>
                </c:pt>
                <c:pt idx="2">
                  <c:v>589</c:v>
                </c:pt>
                <c:pt idx="3">
                  <c:v>3077</c:v>
                </c:pt>
                <c:pt idx="4">
                  <c:v>34793</c:v>
                </c:pt>
                <c:pt idx="5">
                  <c:v>46288</c:v>
                </c:pt>
                <c:pt idx="6">
                  <c:v>23828</c:v>
                </c:pt>
                <c:pt idx="7">
                  <c:v>5471</c:v>
                </c:pt>
                <c:pt idx="8">
                  <c:v>331</c:v>
                </c:pt>
                <c:pt idx="9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v>Enero-Marzo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Pension'!$A$54:$A$64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Pension'!$F$55:$F$64</c:f>
              <c:numCache>
                <c:formatCode>#,##0</c:formatCode>
                <c:ptCount val="10"/>
                <c:pt idx="0">
                  <c:v>8</c:v>
                </c:pt>
                <c:pt idx="1">
                  <c:v>72</c:v>
                </c:pt>
                <c:pt idx="2">
                  <c:v>544</c:v>
                </c:pt>
                <c:pt idx="3">
                  <c:v>2871</c:v>
                </c:pt>
                <c:pt idx="4">
                  <c:v>36619</c:v>
                </c:pt>
                <c:pt idx="5">
                  <c:v>48042</c:v>
                </c:pt>
                <c:pt idx="6">
                  <c:v>25214</c:v>
                </c:pt>
                <c:pt idx="7">
                  <c:v>5551</c:v>
                </c:pt>
                <c:pt idx="8">
                  <c:v>344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Pension'!$A$55:$A$64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Pension'!$D$54:$D$64</c:f>
              <c:numCache>
                <c:formatCode>#,##0.00</c:formatCode>
                <c:ptCount val="10"/>
                <c:pt idx="0">
                  <c:v>266422.05000000005</c:v>
                </c:pt>
                <c:pt idx="1">
                  <c:v>3512722.67</c:v>
                </c:pt>
                <c:pt idx="2">
                  <c:v>21118027.830000002</c:v>
                </c:pt>
                <c:pt idx="3">
                  <c:v>127232152.87</c:v>
                </c:pt>
                <c:pt idx="4">
                  <c:v>1314403811.3199999</c:v>
                </c:pt>
                <c:pt idx="5">
                  <c:v>1913498937.1700001</c:v>
                </c:pt>
                <c:pt idx="6">
                  <c:v>925887131.79999995</c:v>
                </c:pt>
                <c:pt idx="7">
                  <c:v>215215283.43000001</c:v>
                </c:pt>
                <c:pt idx="8">
                  <c:v>12909764.25</c:v>
                </c:pt>
                <c:pt idx="9">
                  <c:v>3208600.64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v>Enero-Marzo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Pension'!$A$55:$A$64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Pension'!$H$55:$H$64</c:f>
              <c:numCache>
                <c:formatCode>#,##0</c:formatCode>
                <c:ptCount val="10"/>
                <c:pt idx="0">
                  <c:v>310922.05000000005</c:v>
                </c:pt>
                <c:pt idx="1">
                  <c:v>3961764.74</c:v>
                </c:pt>
                <c:pt idx="2">
                  <c:v>25998302.120000001</c:v>
                </c:pt>
                <c:pt idx="3">
                  <c:v>145901725.61000001</c:v>
                </c:pt>
                <c:pt idx="4">
                  <c:v>1817112746.6800003</c:v>
                </c:pt>
                <c:pt idx="5">
                  <c:v>2286397095.04</c:v>
                </c:pt>
                <c:pt idx="6">
                  <c:v>1069835090.74</c:v>
                </c:pt>
                <c:pt idx="7">
                  <c:v>227271265.56999999</c:v>
                </c:pt>
                <c:pt idx="8">
                  <c:v>13207017.41</c:v>
                </c:pt>
                <c:pt idx="9">
                  <c:v>1240000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019212290391287"/>
          <c:y val="2.881356444248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(Modalidad!$O$28,Modalidad!$Q$28)</c:f>
              <c:numCache>
                <c:formatCode>0.00%</c:formatCode>
                <c:ptCount val="2"/>
                <c:pt idx="0">
                  <c:v>0.9858440804564963</c:v>
                </c:pt>
                <c:pt idx="1">
                  <c:v>1.4155919543503707E-2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597950039618"/>
          <c:y val="4.2299470680314477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08590949635672E-3"/>
                  <c:y val="0.23353996402043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88-4D3B-A92B-728D1A25D15E}"/>
                </c:ext>
              </c:extLst>
            </c:dLbl>
            <c:dLbl>
              <c:idx val="1"/>
              <c:layout>
                <c:manualLayout>
                  <c:x val="2.788471476716947E-3"/>
                  <c:y val="0.211762489195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6459726581629E-2"/>
                      <c:h val="0.13091299902321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888-4D3B-A92B-728D1A25D15E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Retroactivos!$K$9:$K$11</c:f>
              <c:numCache>
                <c:formatCode>_(* #,##0_);_(* \(#,##0\);_(* "-"??_);_(@_)</c:formatCode>
                <c:ptCount val="3"/>
                <c:pt idx="0">
                  <c:v>318</c:v>
                </c:pt>
                <c:pt idx="1">
                  <c:v>323</c:v>
                </c:pt>
                <c:pt idx="2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8-4F3E-9D80-50FAAA1EC586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78925883884176E-4"/>
                  <c:y val="0.30398691524423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88-4D3B-A92B-728D1A25D15E}"/>
                </c:ext>
              </c:extLst>
            </c:dLbl>
            <c:dLbl>
              <c:idx val="1"/>
              <c:layout>
                <c:manualLayout>
                  <c:x val="5.3296010327023059E-3"/>
                  <c:y val="0.417626033885441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88-4D3B-A92B-728D1A25D15E}"/>
                </c:ext>
              </c:extLst>
            </c:dLbl>
            <c:dLbl>
              <c:idx val="2"/>
              <c:layout>
                <c:manualLayout>
                  <c:x val="5.3043320703023114E-4"/>
                  <c:y val="0.28331799048509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Retroactivos!$L$9:$L$11</c:f>
              <c:numCache>
                <c:formatCode>_(* #,##0_);_(* \(#,##0\);_(* "-"??_);_(@_)</c:formatCode>
                <c:ptCount val="3"/>
                <c:pt idx="0">
                  <c:v>352</c:v>
                </c:pt>
                <c:pt idx="1">
                  <c:v>350</c:v>
                </c:pt>
                <c:pt idx="2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B88-4F3E-9D80-50FAAA1EC586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B88-4F3E-9D80-50FAAA1EC586}"/>
                </c:ext>
              </c:extLst>
            </c:dLbl>
            <c:dLbl>
              <c:idx val="1"/>
              <c:layout>
                <c:manualLayout>
                  <c:x val="-7.3136265981191967E-2"/>
                  <c:y val="-0.12839372676612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88-4D3B-A92B-728D1A25D15E}"/>
                </c:ext>
              </c:extLst>
            </c:dLbl>
            <c:dLbl>
              <c:idx val="2"/>
              <c:layout>
                <c:manualLayout>
                  <c:x val="-9.4132182203010256E-2"/>
                  <c:y val="-4.82794635390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888-4D3B-A92B-728D1A25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Retroactivos!$M$9:$M$11</c:f>
              <c:numCache>
                <c:formatCode>_(* #,##0_);_(* \(#,##0\);_(* "-"??_);_(@_)</c:formatCode>
                <c:ptCount val="3"/>
                <c:pt idx="0">
                  <c:v>42639281.57</c:v>
                </c:pt>
                <c:pt idx="1">
                  <c:v>13480466.32</c:v>
                </c:pt>
                <c:pt idx="2">
                  <c:v>31554474.419999998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61211035074938"/>
          <c:y val="3.4863870221580044E-2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5C-4406-B71E-65516B4B4A9D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94008</c:v>
                </c:pt>
                <c:pt idx="1">
                  <c:v>94100</c:v>
                </c:pt>
                <c:pt idx="2">
                  <c:v>93880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C-4406-B71E-65516B4B4A9D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5C-4406-B71E-65516B4B4A9D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Cotizantes'!$E$7:$E$9</c:f>
              <c:numCache>
                <c:formatCode>#,##0</c:formatCode>
                <c:ptCount val="3"/>
                <c:pt idx="0">
                  <c:v>63998</c:v>
                </c:pt>
                <c:pt idx="1">
                  <c:v>64302</c:v>
                </c:pt>
                <c:pt idx="2">
                  <c:v>64129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450106681931728E-3"/>
                  <c:y val="-0.12161646370644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5C-4406-B71E-65516B4B4A9D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5C-4406-B71E-65516B4B4A9D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0.68077184920432299</c:v>
                </c:pt>
                <c:pt idx="1">
                  <c:v>0.68333687566418699</c:v>
                </c:pt>
                <c:pt idx="2">
                  <c:v>0.68309544098849595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258870374947961"/>
          <c:y val="0.85712440398047529"/>
          <c:w val="0.72580263517381349"/>
          <c:h val="0.1030026691089768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>
                <a:solidFill>
                  <a:schemeClr val="tx2">
                    <a:lumMod val="60000"/>
                    <a:lumOff val="40000"/>
                  </a:schemeClr>
                </a:solidFill>
              </a:rPr>
              <a:t>Recuperación</a:t>
            </a: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Fondos</a:t>
            </a:r>
          </a:p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Monto solicitado / Total Recuperado</a:t>
            </a:r>
            <a:endParaRPr lang="es-ES" sz="8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32894941816863671"/>
          <c:y val="2.2574339789436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751014501871688E-2"/>
                  <c:y val="1.7515273744536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53-4937-ACFC-AC9F032F728F}"/>
                </c:ext>
              </c:extLst>
            </c:dLbl>
            <c:dLbl>
              <c:idx val="1"/>
              <c:layout>
                <c:manualLayout>
                  <c:x val="-3.1735390268839148E-2"/>
                  <c:y val="-2.2792921735736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53-4937-ACFC-AC9F032F728F}"/>
                </c:ext>
              </c:extLst>
            </c:dLbl>
            <c:dLbl>
              <c:idx val="2"/>
              <c:layout>
                <c:manualLayout>
                  <c:x val="-4.1711647931624477E-4"/>
                  <c:y val="1.0088951449305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05018275115812"/>
                      <c:h val="4.20816058575475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'Recuperación Fondos'!$C$7:$C$9</c:f>
              <c:numCache>
                <c:formatCode>#,##0</c:formatCode>
                <c:ptCount val="3"/>
                <c:pt idx="0">
                  <c:v>12284532.879999999</c:v>
                </c:pt>
                <c:pt idx="1">
                  <c:v>2849882.44</c:v>
                </c:pt>
                <c:pt idx="2">
                  <c:v>6549903.3299999954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3-4937-ACFC-AC9F032F728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354024410601823E-2"/>
                  <c:y val="1.2011107102512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07200811714922"/>
                      <c:h val="4.5837202287660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953-4937-ACFC-AC9F032F728F}"/>
                </c:ext>
              </c:extLst>
            </c:dLbl>
            <c:dLbl>
              <c:idx val="1"/>
              <c:layout>
                <c:manualLayout>
                  <c:x val="4.004152379754003E-3"/>
                  <c:y val="1.8518638995511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53-4937-ACFC-AC9F032F728F}"/>
                </c:ext>
              </c:extLst>
            </c:dLbl>
            <c:dLbl>
              <c:idx val="2"/>
              <c:layout>
                <c:manualLayout>
                  <c:x val="4.765917598302377E-3"/>
                  <c:y val="1.965211939839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'Recuperación Fondos'!$F$7:$F$9</c:f>
              <c:numCache>
                <c:formatCode>_(* #,##0_);_(* \(#,##0\);_(* "-"??_);_(@_)</c:formatCode>
                <c:ptCount val="3"/>
                <c:pt idx="0">
                  <c:v>168516.02000000002</c:v>
                </c:pt>
                <c:pt idx="1">
                  <c:v>306385.03999999998</c:v>
                </c:pt>
                <c:pt idx="2">
                  <c:v>2313751.06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0121922669515422"/>
                  <c:y val="-1.65110213447993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485853802149423E-2"/>
                      <c:h val="6.69247283846203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953-4937-ACFC-AC9F032F728F}"/>
                </c:ext>
              </c:extLst>
            </c:dLbl>
            <c:dLbl>
              <c:idx val="1"/>
              <c:layout>
                <c:manualLayout>
                  <c:x val="-1.6031520125687478E-2"/>
                  <c:y val="-2.08194593124006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216124612678336E-2"/>
                      <c:h val="5.5657939094280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953-4937-ACFC-AC9F032F728F}"/>
                </c:ext>
              </c:extLst>
            </c:dLbl>
            <c:dLbl>
              <c:idx val="2"/>
              <c:layout>
                <c:manualLayout>
                  <c:x val="-1.2638125967117077E-2"/>
                  <c:y val="2.6221160272295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1.3717739343134066E-2</c:v>
                </c:pt>
                <c:pt idx="1">
                  <c:v>0.10750795741595572</c:v>
                </c:pt>
                <c:pt idx="2">
                  <c:v>0.35324965017460824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72048720"/>
        <c:crosses val="autoZero"/>
        <c:crossBetween val="between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Padre/Madre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Servicios!$L$11:$L$29</c:f>
              <c:numCache>
                <c:formatCode>#,##0</c:formatCode>
                <c:ptCount val="19"/>
                <c:pt idx="0">
                  <c:v>37</c:v>
                </c:pt>
                <c:pt idx="1">
                  <c:v>8819</c:v>
                </c:pt>
                <c:pt idx="2">
                  <c:v>730</c:v>
                </c:pt>
                <c:pt idx="3">
                  <c:v>8503</c:v>
                </c:pt>
                <c:pt idx="4">
                  <c:v>62</c:v>
                </c:pt>
                <c:pt idx="5">
                  <c:v>56</c:v>
                </c:pt>
                <c:pt idx="6">
                  <c:v>466</c:v>
                </c:pt>
                <c:pt idx="7">
                  <c:v>4</c:v>
                </c:pt>
                <c:pt idx="8">
                  <c:v>0</c:v>
                </c:pt>
                <c:pt idx="9">
                  <c:v>24</c:v>
                </c:pt>
                <c:pt idx="10">
                  <c:v>347</c:v>
                </c:pt>
                <c:pt idx="11">
                  <c:v>232</c:v>
                </c:pt>
                <c:pt idx="12">
                  <c:v>1319</c:v>
                </c:pt>
                <c:pt idx="13">
                  <c:v>12</c:v>
                </c:pt>
                <c:pt idx="14">
                  <c:v>171</c:v>
                </c:pt>
                <c:pt idx="15">
                  <c:v>9004</c:v>
                </c:pt>
                <c:pt idx="16">
                  <c:v>847</c:v>
                </c:pt>
                <c:pt idx="17">
                  <c:v>133</c:v>
                </c:pt>
                <c:pt idx="1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Padre/Madre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Servicios!$M$11:$M$29</c:f>
              <c:numCache>
                <c:formatCode>#,##0</c:formatCode>
                <c:ptCount val="19"/>
                <c:pt idx="0">
                  <c:v>31</c:v>
                </c:pt>
                <c:pt idx="1">
                  <c:v>8819</c:v>
                </c:pt>
                <c:pt idx="2">
                  <c:v>625</c:v>
                </c:pt>
                <c:pt idx="3">
                  <c:v>8392</c:v>
                </c:pt>
                <c:pt idx="4">
                  <c:v>45</c:v>
                </c:pt>
                <c:pt idx="5">
                  <c:v>28</c:v>
                </c:pt>
                <c:pt idx="6">
                  <c:v>322</c:v>
                </c:pt>
                <c:pt idx="7">
                  <c:v>3</c:v>
                </c:pt>
                <c:pt idx="8">
                  <c:v>0</c:v>
                </c:pt>
                <c:pt idx="9">
                  <c:v>12</c:v>
                </c:pt>
                <c:pt idx="10">
                  <c:v>284</c:v>
                </c:pt>
                <c:pt idx="11">
                  <c:v>201</c:v>
                </c:pt>
                <c:pt idx="12">
                  <c:v>774</c:v>
                </c:pt>
                <c:pt idx="13">
                  <c:v>8</c:v>
                </c:pt>
                <c:pt idx="14">
                  <c:v>141</c:v>
                </c:pt>
                <c:pt idx="15">
                  <c:v>6157</c:v>
                </c:pt>
                <c:pt idx="16">
                  <c:v>503</c:v>
                </c:pt>
                <c:pt idx="17">
                  <c:v>103</c:v>
                </c:pt>
                <c:pt idx="1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Padre/Madre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Servicios!$N$11:$N$29</c:f>
              <c:numCache>
                <c:formatCode>0%</c:formatCode>
                <c:ptCount val="19"/>
                <c:pt idx="0">
                  <c:v>0.83783783783783783</c:v>
                </c:pt>
                <c:pt idx="1">
                  <c:v>1</c:v>
                </c:pt>
                <c:pt idx="2">
                  <c:v>0.85616438356164382</c:v>
                </c:pt>
                <c:pt idx="3">
                  <c:v>0.98694578384099729</c:v>
                </c:pt>
                <c:pt idx="4">
                  <c:v>0.72580645161290325</c:v>
                </c:pt>
                <c:pt idx="5">
                  <c:v>0.5</c:v>
                </c:pt>
                <c:pt idx="6">
                  <c:v>0.69098712446351929</c:v>
                </c:pt>
                <c:pt idx="7">
                  <c:v>0.75</c:v>
                </c:pt>
                <c:pt idx="8">
                  <c:v>0</c:v>
                </c:pt>
                <c:pt idx="9">
                  <c:v>0.5</c:v>
                </c:pt>
                <c:pt idx="10">
                  <c:v>0.81844380403458217</c:v>
                </c:pt>
                <c:pt idx="11">
                  <c:v>0.86637931034482762</c:v>
                </c:pt>
                <c:pt idx="12">
                  <c:v>0.58680818802122825</c:v>
                </c:pt>
                <c:pt idx="13">
                  <c:v>0.66666666666666663</c:v>
                </c:pt>
                <c:pt idx="14">
                  <c:v>0.82456140350877194</c:v>
                </c:pt>
                <c:pt idx="15">
                  <c:v>0.68380719680142155</c:v>
                </c:pt>
                <c:pt idx="16">
                  <c:v>0.59386068476977572</c:v>
                </c:pt>
                <c:pt idx="17">
                  <c:v>0.77443609022556392</c:v>
                </c:pt>
                <c:pt idx="18">
                  <c:v>0.83653846153846156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72042192"/>
        <c:crosses val="max"/>
        <c:crossBetween val="between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Servicios!$L$38:$L$49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41</c:v>
                </c:pt>
                <c:pt idx="2">
                  <c:v>44</c:v>
                </c:pt>
                <c:pt idx="3">
                  <c:v>464</c:v>
                </c:pt>
                <c:pt idx="4">
                  <c:v>11</c:v>
                </c:pt>
                <c:pt idx="5">
                  <c:v>0</c:v>
                </c:pt>
                <c:pt idx="6">
                  <c:v>346</c:v>
                </c:pt>
                <c:pt idx="7">
                  <c:v>245</c:v>
                </c:pt>
                <c:pt idx="8">
                  <c:v>12</c:v>
                </c:pt>
                <c:pt idx="9">
                  <c:v>171</c:v>
                </c:pt>
                <c:pt idx="10">
                  <c:v>9052</c:v>
                </c:pt>
                <c:pt idx="1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Servicios!$M$38:$M$49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19</c:v>
                </c:pt>
                <c:pt idx="2">
                  <c:v>5</c:v>
                </c:pt>
                <c:pt idx="3">
                  <c:v>102</c:v>
                </c:pt>
                <c:pt idx="4">
                  <c:v>3</c:v>
                </c:pt>
                <c:pt idx="5">
                  <c:v>0</c:v>
                </c:pt>
                <c:pt idx="6">
                  <c:v>136</c:v>
                </c:pt>
                <c:pt idx="7">
                  <c:v>37</c:v>
                </c:pt>
                <c:pt idx="8">
                  <c:v>4</c:v>
                </c:pt>
                <c:pt idx="9">
                  <c:v>27</c:v>
                </c:pt>
                <c:pt idx="10">
                  <c:v>1711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Servicios!$N$38:$N$49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0.46341463414634149</c:v>
                </c:pt>
                <c:pt idx="2">
                  <c:v>0.11363636363636363</c:v>
                </c:pt>
                <c:pt idx="3">
                  <c:v>0.21982758620689655</c:v>
                </c:pt>
                <c:pt idx="4">
                  <c:v>0.27272727272727271</c:v>
                </c:pt>
                <c:pt idx="5">
                  <c:v>0</c:v>
                </c:pt>
                <c:pt idx="6">
                  <c:v>0.39306358381502893</c:v>
                </c:pt>
                <c:pt idx="7">
                  <c:v>0.15102040816326531</c:v>
                </c:pt>
                <c:pt idx="8">
                  <c:v>0.33333333333333331</c:v>
                </c:pt>
                <c:pt idx="9">
                  <c:v>0.15789473684210525</c:v>
                </c:pt>
                <c:pt idx="10">
                  <c:v>0.1890190013256739</c:v>
                </c:pt>
                <c:pt idx="11">
                  <c:v>0.44444444444444442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672043824"/>
        <c:crosses val="autoZero"/>
        <c:crossBetween val="between"/>
      </c:valAx>
      <c:valAx>
        <c:axId val="1672046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672377216"/>
        <c:crosses val="max"/>
        <c:crossBetween val="between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 de Cotizantes</a:t>
            </a:r>
            <a:r>
              <a:rPr lang="es-ES" sz="1100" baseline="0">
                <a:solidFill>
                  <a:schemeClr val="accent1"/>
                </a:solidFill>
              </a:rPr>
              <a:t> y No Cotizantes</a:t>
            </a:r>
            <a:endParaRPr lang="es-ES" sz="1100">
              <a:solidFill>
                <a:schemeClr val="accent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EA7-43FD-B304-646A53AEE0F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EA7-43FD-B304-646A53AEE0FB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A7-43FD-B304-646A53AEE0FB}"/>
                </c:ext>
              </c:extLst>
            </c:dLbl>
            <c:dLbl>
              <c:idx val="1"/>
              <c:layout>
                <c:manualLayout>
                  <c:x val="0.21927088801399824"/>
                  <c:y val="-0.226812117235345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95822397200349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EA7-43FD-B304-646A53AEE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('Afiliados y Cotizantes'!$D$6,'Afiliados y Cotizantes'!$F$6)</c:f>
              <c:strCache>
                <c:ptCount val="2"/>
                <c:pt idx="0">
                  <c:v>% Cotizantes</c:v>
                </c:pt>
                <c:pt idx="1">
                  <c:v>% No Cotizantes</c:v>
                </c:pt>
              </c:strCache>
            </c:strRef>
          </c:cat>
          <c:val>
            <c:numRef>
              <c:f>('Afiliados y Cotizantes'!$D$10,'Afiliados y Cotizantes'!$F$10)</c:f>
              <c:numCache>
                <c:formatCode>0%</c:formatCode>
                <c:ptCount val="2"/>
                <c:pt idx="0">
                  <c:v>0.31759862121792415</c:v>
                </c:pt>
                <c:pt idx="1">
                  <c:v>0.68240137878207585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A7-43FD-B304-646A53AEE0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/>
              <a:t>Afiliados Policía Nacional</a:t>
            </a:r>
          </a:p>
        </c:rich>
      </c:tx>
      <c:layout>
        <c:manualLayout>
          <c:xMode val="edge"/>
          <c:yMode val="edge"/>
          <c:x val="0.24594854362360583"/>
          <c:y val="5.6333835197786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3000886388593344"/>
          <c:y val="0.21182772198508079"/>
          <c:w val="0.84211160495850756"/>
          <c:h val="0.52503880905226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'[1]Afiliados PN'!$B$7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25-4855-81B1-A4AC837EBE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'[1]Afiliados PN'!$A$8:$A$10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'[1]Afiliados PN'!$B$8:$B$10</c:f>
              <c:numCache>
                <c:formatCode>General</c:formatCode>
                <c:ptCount val="3"/>
                <c:pt idx="0">
                  <c:v>42835.16</c:v>
                </c:pt>
                <c:pt idx="1">
                  <c:v>42681</c:v>
                </c:pt>
                <c:pt idx="2">
                  <c:v>42579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855-81B1-A4AC837EBEB8}"/>
            </c:ext>
          </c:extLst>
        </c:ser>
        <c:ser>
          <c:idx val="1"/>
          <c:order val="1"/>
          <c:tx>
            <c:strRef>
              <c:f>'[1]Afiliados PN'!$C$7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3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'[1]Afiliados PN'!$A$8:$A$10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'[1]Afiliados PN'!$C$8:$C$10</c:f>
              <c:numCache>
                <c:formatCode>General</c:formatCode>
                <c:ptCount val="3"/>
                <c:pt idx="0">
                  <c:v>9403</c:v>
                </c:pt>
                <c:pt idx="1">
                  <c:v>9431</c:v>
                </c:pt>
                <c:pt idx="2">
                  <c:v>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25-4855-81B1-A4AC837EBEB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83163647"/>
        <c:axId val="683162399"/>
      </c:barChart>
      <c:catAx>
        <c:axId val="683163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3162399"/>
        <c:crosses val="autoZero"/>
        <c:auto val="1"/>
        <c:lblAlgn val="ctr"/>
        <c:lblOffset val="100"/>
        <c:noMultiLvlLbl val="0"/>
      </c:catAx>
      <c:valAx>
        <c:axId val="68316239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3163647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100">
                <a:solidFill>
                  <a:schemeClr val="accent1"/>
                </a:solidFill>
              </a:rPr>
              <a:t>Cantidad</a:t>
            </a:r>
            <a:r>
              <a:rPr lang="es-ES" sz="1100" baseline="0">
                <a:solidFill>
                  <a:schemeClr val="accent1"/>
                </a:solidFill>
              </a:rPr>
              <a:t> de cotizantes por tipo 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s-ES" sz="1100" baseline="0">
                <a:solidFill>
                  <a:schemeClr val="accent1"/>
                </a:solidFill>
              </a:rPr>
              <a:t>de empleador</a:t>
            </a:r>
            <a:endParaRPr lang="es-ES" sz="11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1397542344881213"/>
          <c:y val="1.0885773870129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Cotizantes!$B$8:$B$10</c:f>
              <c:numCache>
                <c:formatCode>#,##0</c:formatCode>
                <c:ptCount val="3"/>
                <c:pt idx="0">
                  <c:v>24309</c:v>
                </c:pt>
                <c:pt idx="1">
                  <c:v>24137</c:v>
                </c:pt>
                <c:pt idx="2">
                  <c:v>24099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5701</c:v>
                </c:pt>
                <c:pt idx="1">
                  <c:v>5661</c:v>
                </c:pt>
                <c:pt idx="2">
                  <c:v>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</a:t>
            </a:r>
            <a:r>
              <a:rPr lang="es-ES" sz="1100" baseline="0">
                <a:solidFill>
                  <a:schemeClr val="accent1"/>
                </a:solidFill>
              </a:rPr>
              <a:t> Cotizantes por Tipo de Empleador</a:t>
            </a:r>
            <a:endParaRPr lang="es-ES" sz="1100">
              <a:solidFill>
                <a:schemeClr val="accent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explosion val="3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E83FA5F-D0AB-48CE-96D6-99FDB27CB4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layout>
                <c:manualLayout>
                  <c:x val="0.11663649561069367"/>
                  <c:y val="0.110844708400903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0.81002466308887267</c:v>
                </c:pt>
                <c:pt idx="1">
                  <c:v>0.18997533691112731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94791797.129999995</c:v>
                </c:pt>
                <c:pt idx="1">
                  <c:v>91937278.599999994</c:v>
                </c:pt>
                <c:pt idx="2">
                  <c:v>89905597.849999994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4-4074-BEFF-2DE0A00E38F1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38-4061-9CFB-E05ABCE275A3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38-4061-9CFB-E05ABCE275A3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4B-423A-9D8D-AF7B1DB20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Marzo*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14164291.529999999</c:v>
                </c:pt>
                <c:pt idx="1">
                  <c:v>13737754.27</c:v>
                </c:pt>
                <c:pt idx="2">
                  <c:v>13434169.35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4-4074-BEFF-2DE0A00E3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/>
                </a:solidFill>
              </a:rPr>
              <a:t>Porcentaje Monto Total</a:t>
            </a:r>
            <a:r>
              <a:rPr lang="en-US" sz="900" b="1" baseline="0">
                <a:solidFill>
                  <a:schemeClr val="accent1"/>
                </a:solidFill>
              </a:rPr>
              <a:t> Individualizado por Tipo de Empleador</a:t>
            </a:r>
            <a:endParaRPr lang="en-US" sz="900" b="1">
              <a:solidFill>
                <a:schemeClr val="accent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1E0124BD-4345-4E4A-B14D-12CA58C698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7.4119001557259923E-2"/>
                  <c:y val="9.942868556068289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808AA45-761B-4E95-9508-60574774486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Empleador!$B$25:$C$25</c:f>
              <c:numCache>
                <c:formatCode>0%</c:formatCode>
                <c:ptCount val="2"/>
                <c:pt idx="0">
                  <c:v>0.87000000121048826</c:v>
                </c:pt>
                <c:pt idx="1">
                  <c:v>0.12999999878951185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chart" Target="../charts/chart19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644770</xdr:colOff>
      <xdr:row>29</xdr:row>
      <xdr:rowOff>80596</xdr:rowOff>
    </xdr:from>
    <xdr:to>
      <xdr:col>5</xdr:col>
      <xdr:colOff>223472</xdr:colOff>
      <xdr:row>45</xdr:row>
      <xdr:rowOff>139212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3</xdr:col>
      <xdr:colOff>581756</xdr:colOff>
      <xdr:row>1</xdr:row>
      <xdr:rowOff>22900</xdr:rowOff>
    </xdr:from>
    <xdr:to>
      <xdr:col>6</xdr:col>
      <xdr:colOff>414076</xdr:colOff>
      <xdr:row>4</xdr:row>
      <xdr:rowOff>9338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352" y="213400"/>
          <a:ext cx="2246436" cy="5579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67407</xdr:colOff>
      <xdr:row>24</xdr:row>
      <xdr:rowOff>67897</xdr:rowOff>
    </xdr:from>
    <xdr:to>
      <xdr:col>26</xdr:col>
      <xdr:colOff>694836</xdr:colOff>
      <xdr:row>39</xdr:row>
      <xdr:rowOff>144097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143531</xdr:colOff>
      <xdr:row>30</xdr:row>
      <xdr:rowOff>99393</xdr:rowOff>
    </xdr:from>
    <xdr:to>
      <xdr:col>6</xdr:col>
      <xdr:colOff>8282</xdr:colOff>
      <xdr:row>42</xdr:row>
      <xdr:rowOff>124239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603250</xdr:colOff>
      <xdr:row>44</xdr:row>
      <xdr:rowOff>51661</xdr:rowOff>
    </xdr:from>
    <xdr:to>
      <xdr:col>9</xdr:col>
      <xdr:colOff>901722</xdr:colOff>
      <xdr:row>55</xdr:row>
      <xdr:rowOff>164962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455544</xdr:colOff>
      <xdr:row>31</xdr:row>
      <xdr:rowOff>37272</xdr:rowOff>
    </xdr:from>
    <xdr:to>
      <xdr:col>12</xdr:col>
      <xdr:colOff>463827</xdr:colOff>
      <xdr:row>43</xdr:row>
      <xdr:rowOff>49696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269184</xdr:colOff>
      <xdr:row>43</xdr:row>
      <xdr:rowOff>65464</xdr:rowOff>
    </xdr:from>
    <xdr:to>
      <xdr:col>7</xdr:col>
      <xdr:colOff>363937</xdr:colOff>
      <xdr:row>44</xdr:row>
      <xdr:rowOff>84514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4920559" y="5335964"/>
          <a:ext cx="96787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30</xdr:row>
      <xdr:rowOff>4141</xdr:rowOff>
    </xdr:from>
    <xdr:to>
      <xdr:col>12</xdr:col>
      <xdr:colOff>324932</xdr:colOff>
      <xdr:row>30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667472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34980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446942</xdr:colOff>
      <xdr:row>1</xdr:row>
      <xdr:rowOff>36635</xdr:rowOff>
    </xdr:from>
    <xdr:to>
      <xdr:col>3</xdr:col>
      <xdr:colOff>539251</xdr:colOff>
      <xdr:row>4</xdr:row>
      <xdr:rowOff>87923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942B9E2-F9D1-4E35-8E7F-20E9BC51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092" y="227135"/>
          <a:ext cx="987658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1</xdr:row>
      <xdr:rowOff>9525</xdr:rowOff>
    </xdr:from>
    <xdr:to>
      <xdr:col>11</xdr:col>
      <xdr:colOff>373619</xdr:colOff>
      <xdr:row>3</xdr:row>
      <xdr:rowOff>186463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F0EDD90A-9281-44E9-A447-23316632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00025"/>
          <a:ext cx="2259569" cy="557938"/>
        </a:xfrm>
        <a:prstGeom prst="rect">
          <a:avLst/>
        </a:prstGeom>
      </xdr:spPr>
    </xdr:pic>
    <xdr:clientData/>
  </xdr:twoCellAnchor>
  <xdr:twoCellAnchor>
    <xdr:from>
      <xdr:col>1</xdr:col>
      <xdr:colOff>541898</xdr:colOff>
      <xdr:row>12</xdr:row>
      <xdr:rowOff>88222</xdr:rowOff>
    </xdr:from>
    <xdr:to>
      <xdr:col>7</xdr:col>
      <xdr:colOff>675181</xdr:colOff>
      <xdr:row>27</xdr:row>
      <xdr:rowOff>151534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647AEC1-3832-4360-89E9-78152BA2F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479999</xdr:colOff>
      <xdr:row>26</xdr:row>
      <xdr:rowOff>130663</xdr:rowOff>
    </xdr:from>
    <xdr:to>
      <xdr:col>12</xdr:col>
      <xdr:colOff>720444</xdr:colOff>
      <xdr:row>38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3</xdr:col>
      <xdr:colOff>770050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158750</xdr:rowOff>
    </xdr:from>
    <xdr:to>
      <xdr:col>6</xdr:col>
      <xdr:colOff>240444</xdr:colOff>
      <xdr:row>39</xdr:row>
      <xdr:rowOff>28087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865187</xdr:colOff>
      <xdr:row>1</xdr:row>
      <xdr:rowOff>119062</xdr:rowOff>
    </xdr:from>
    <xdr:to>
      <xdr:col>9</xdr:col>
      <xdr:colOff>420811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499965</xdr:colOff>
      <xdr:row>4</xdr:row>
      <xdr:rowOff>106479</xdr:rowOff>
    </xdr:from>
    <xdr:to>
      <xdr:col>17</xdr:col>
      <xdr:colOff>965642</xdr:colOff>
      <xdr:row>6</xdr:row>
      <xdr:rowOff>266099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0878" y="868479"/>
          <a:ext cx="2238155" cy="548903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14</xdr:col>
      <xdr:colOff>11538</xdr:colOff>
      <xdr:row>6</xdr:row>
      <xdr:rowOff>349233</xdr:rowOff>
    </xdr:from>
    <xdr:to>
      <xdr:col>18</xdr:col>
      <xdr:colOff>932414</xdr:colOff>
      <xdr:row>21</xdr:row>
      <xdr:rowOff>95044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637008</xdr:colOff>
      <xdr:row>6</xdr:row>
      <xdr:rowOff>375728</xdr:rowOff>
    </xdr:from>
    <xdr:to>
      <xdr:col>24</xdr:col>
      <xdr:colOff>221371</xdr:colOff>
      <xdr:row>21</xdr:row>
      <xdr:rowOff>115352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752257</xdr:colOff>
      <xdr:row>30</xdr:row>
      <xdr:rowOff>234350</xdr:rowOff>
    </xdr:from>
    <xdr:to>
      <xdr:col>19</xdr:col>
      <xdr:colOff>295252</xdr:colOff>
      <xdr:row>45</xdr:row>
      <xdr:rowOff>108845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840440</xdr:colOff>
      <xdr:row>30</xdr:row>
      <xdr:rowOff>526189</xdr:rowOff>
    </xdr:from>
    <xdr:to>
      <xdr:col>26</xdr:col>
      <xdr:colOff>78440</xdr:colOff>
      <xdr:row>45</xdr:row>
      <xdr:rowOff>22606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32644</xdr:colOff>
      <xdr:row>50</xdr:row>
      <xdr:rowOff>169062</xdr:rowOff>
    </xdr:from>
    <xdr:to>
      <xdr:col>18</xdr:col>
      <xdr:colOff>965169</xdr:colOff>
      <xdr:row>65</xdr:row>
      <xdr:rowOff>2143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165562</xdr:colOff>
      <xdr:row>51</xdr:row>
      <xdr:rowOff>43432</xdr:rowOff>
    </xdr:from>
    <xdr:to>
      <xdr:col>25</xdr:col>
      <xdr:colOff>221591</xdr:colOff>
      <xdr:row>65</xdr:row>
      <xdr:rowOff>78219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744862</xdr:colOff>
      <xdr:row>4</xdr:row>
      <xdr:rowOff>170527</xdr:rowOff>
    </xdr:from>
    <xdr:to>
      <xdr:col>22</xdr:col>
      <xdr:colOff>897569</xdr:colOff>
      <xdr:row>6</xdr:row>
      <xdr:rowOff>330147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7862" y="932527"/>
          <a:ext cx="2231642" cy="548903"/>
        </a:xfrm>
        <a:prstGeom prst="rect">
          <a:avLst/>
        </a:prstGeom>
      </xdr:spPr>
    </xdr:pic>
    <xdr:clientData/>
  </xdr:twoCellAnchor>
  <xdr:twoCellAnchor editAs="oneCell">
    <xdr:from>
      <xdr:col>8</xdr:col>
      <xdr:colOff>530173</xdr:colOff>
      <xdr:row>0</xdr:row>
      <xdr:rowOff>0</xdr:rowOff>
    </xdr:from>
    <xdr:to>
      <xdr:col>11</xdr:col>
      <xdr:colOff>480379</xdr:colOff>
      <xdr:row>2</xdr:row>
      <xdr:rowOff>170826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25D078B7-007D-43F3-B3A7-90E4A374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55" y="0"/>
          <a:ext cx="2236206" cy="5518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520935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4</xdr:col>
      <xdr:colOff>325904</xdr:colOff>
      <xdr:row>29</xdr:row>
      <xdr:rowOff>169208</xdr:rowOff>
    </xdr:from>
    <xdr:to>
      <xdr:col>9</xdr:col>
      <xdr:colOff>419660</xdr:colOff>
      <xdr:row>45</xdr:row>
      <xdr:rowOff>100291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474786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100954</xdr:colOff>
      <xdr:row>30</xdr:row>
      <xdr:rowOff>171253</xdr:rowOff>
    </xdr:from>
    <xdr:to>
      <xdr:col>10</xdr:col>
      <xdr:colOff>282832</xdr:colOff>
      <xdr:row>42</xdr:row>
      <xdr:rowOff>162101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622962</xdr:colOff>
      <xdr:row>29</xdr:row>
      <xdr:rowOff>146415</xdr:rowOff>
    </xdr:from>
    <xdr:to>
      <xdr:col>9</xdr:col>
      <xdr:colOff>361356</xdr:colOff>
      <xdr:row>31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384962" y="3257915"/>
          <a:ext cx="3738894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372484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223631</xdr:colOff>
      <xdr:row>0</xdr:row>
      <xdr:rowOff>157370</xdr:rowOff>
    </xdr:from>
    <xdr:to>
      <xdr:col>12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24668</xdr:colOff>
      <xdr:row>36</xdr:row>
      <xdr:rowOff>98668</xdr:rowOff>
    </xdr:from>
    <xdr:to>
      <xdr:col>5</xdr:col>
      <xdr:colOff>503603</xdr:colOff>
      <xdr:row>54</xdr:row>
      <xdr:rowOff>51288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88058</xdr:colOff>
      <xdr:row>28</xdr:row>
      <xdr:rowOff>36566</xdr:rowOff>
    </xdr:from>
    <xdr:to>
      <xdr:col>5</xdr:col>
      <xdr:colOff>175314</xdr:colOff>
      <xdr:row>39</xdr:row>
      <xdr:rowOff>170649</xdr:rowOff>
    </xdr:to>
    <xdr:graphicFrame macro="">
      <xdr:nvGraphicFramePr>
        <xdr:cNvPr id="2" name="10 Gráfico">
          <a:extLst>
            <a:ext uri="{FF2B5EF4-FFF2-40B4-BE49-F238E27FC236}">
              <a16:creationId xmlns:a16="http://schemas.microsoft.com/office/drawing/2014/main" id="{7412F171-EEEB-49E2-966D-2F1CACD4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588089</xdr:colOff>
      <xdr:row>65</xdr:row>
      <xdr:rowOff>44161</xdr:rowOff>
    </xdr:from>
    <xdr:to>
      <xdr:col>17</xdr:col>
      <xdr:colOff>702388</xdr:colOff>
      <xdr:row>66</xdr:row>
      <xdr:rowOff>120361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E3A95FC-AC94-4EE6-8655-9FEDB168D4F6}"/>
            </a:ext>
          </a:extLst>
        </xdr:cNvPr>
        <xdr:cNvSpPr txBox="1"/>
      </xdr:nvSpPr>
      <xdr:spPr>
        <a:xfrm>
          <a:off x="12018089" y="12426661"/>
          <a:ext cx="163829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7</xdr:col>
      <xdr:colOff>266242</xdr:colOff>
      <xdr:row>26</xdr:row>
      <xdr:rowOff>4587</xdr:rowOff>
    </xdr:from>
    <xdr:to>
      <xdr:col>9</xdr:col>
      <xdr:colOff>612806</xdr:colOff>
      <xdr:row>27</xdr:row>
      <xdr:rowOff>80787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41605F-E6E2-484F-A7BE-C823C39B7978}"/>
            </a:ext>
          </a:extLst>
        </xdr:cNvPr>
        <xdr:cNvSpPr txBox="1"/>
      </xdr:nvSpPr>
      <xdr:spPr>
        <a:xfrm>
          <a:off x="6389456" y="283487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oneCellAnchor>
    <xdr:from>
      <xdr:col>0</xdr:col>
      <xdr:colOff>270708</xdr:colOff>
      <xdr:row>1</xdr:row>
      <xdr:rowOff>65942</xdr:rowOff>
    </xdr:from>
    <xdr:ext cx="871814" cy="549520"/>
    <xdr:pic>
      <xdr:nvPicPr>
        <xdr:cNvPr id="5" name="Picture 8">
          <a:extLst>
            <a:ext uri="{FF2B5EF4-FFF2-40B4-BE49-F238E27FC236}">
              <a16:creationId xmlns:a16="http://schemas.microsoft.com/office/drawing/2014/main" id="{4DD5A5D0-8A9D-405C-BF51-D9919A66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08" y="256442"/>
          <a:ext cx="871814" cy="549520"/>
        </a:xfrm>
        <a:prstGeom prst="rect">
          <a:avLst/>
        </a:prstGeom>
      </xdr:spPr>
    </xdr:pic>
    <xdr:clientData/>
  </xdr:oneCellAnchor>
  <xdr:twoCellAnchor>
    <xdr:from>
      <xdr:col>5</xdr:col>
      <xdr:colOff>414854</xdr:colOff>
      <xdr:row>28</xdr:row>
      <xdr:rowOff>100407</xdr:rowOff>
    </xdr:from>
    <xdr:to>
      <xdr:col>11</xdr:col>
      <xdr:colOff>217865</xdr:colOff>
      <xdr:row>40</xdr:row>
      <xdr:rowOff>38757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3C96AE7C-3C81-42F8-9061-2945E252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441664</xdr:colOff>
      <xdr:row>41</xdr:row>
      <xdr:rowOff>124063</xdr:rowOff>
    </xdr:from>
    <xdr:to>
      <xdr:col>10</xdr:col>
      <xdr:colOff>659379</xdr:colOff>
      <xdr:row>56</xdr:row>
      <xdr:rowOff>9763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918E741-4A5F-4509-AAD0-034771F70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769328</xdr:colOff>
      <xdr:row>1</xdr:row>
      <xdr:rowOff>14654</xdr:rowOff>
    </xdr:from>
    <xdr:ext cx="2232100" cy="557938"/>
    <xdr:pic>
      <xdr:nvPicPr>
        <xdr:cNvPr id="8" name="Picture 9">
          <a:extLst>
            <a:ext uri="{FF2B5EF4-FFF2-40B4-BE49-F238E27FC236}">
              <a16:creationId xmlns:a16="http://schemas.microsoft.com/office/drawing/2014/main" id="{F8AF9267-88C4-44C4-A567-EB0184EB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803" y="205154"/>
          <a:ext cx="2232100" cy="557938"/>
        </a:xfrm>
        <a:prstGeom prst="rect">
          <a:avLst/>
        </a:prstGeom>
      </xdr:spPr>
    </xdr:pic>
    <xdr:clientData/>
  </xdr:oneCellAnchor>
  <xdr:twoCellAnchor>
    <xdr:from>
      <xdr:col>1</xdr:col>
      <xdr:colOff>762000</xdr:colOff>
      <xdr:row>25</xdr:row>
      <xdr:rowOff>52487</xdr:rowOff>
    </xdr:from>
    <xdr:to>
      <xdr:col>3</xdr:col>
      <xdr:colOff>754674</xdr:colOff>
      <xdr:row>26</xdr:row>
      <xdr:rowOff>128687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3C8BA23-7508-4CB1-81D8-368BB9F6EE14}"/>
            </a:ext>
          </a:extLst>
        </xdr:cNvPr>
        <xdr:cNvSpPr txBox="1"/>
      </xdr:nvSpPr>
      <xdr:spPr>
        <a:xfrm>
          <a:off x="1575288" y="2697506"/>
          <a:ext cx="151667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0</xdr:col>
      <xdr:colOff>408214</xdr:colOff>
      <xdr:row>42</xdr:row>
      <xdr:rowOff>68036</xdr:rowOff>
    </xdr:from>
    <xdr:to>
      <xdr:col>4</xdr:col>
      <xdr:colOff>589139</xdr:colOff>
      <xdr:row>54</xdr:row>
      <xdr:rowOff>5744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BE5D706-E8F4-4FFF-8B58-967004929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485781</xdr:colOff>
      <xdr:row>7</xdr:row>
      <xdr:rowOff>158755</xdr:rowOff>
    </xdr:from>
    <xdr:to>
      <xdr:col>21</xdr:col>
      <xdr:colOff>638175</xdr:colOff>
      <xdr:row>31</xdr:row>
      <xdr:rowOff>6349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450850</xdr:colOff>
      <xdr:row>31</xdr:row>
      <xdr:rowOff>82550</xdr:rowOff>
    </xdr:from>
    <xdr:to>
      <xdr:col>21</xdr:col>
      <xdr:colOff>603244</xdr:colOff>
      <xdr:row>52</xdr:row>
      <xdr:rowOff>120644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2</xdr:row>
      <xdr:rowOff>133350</xdr:rowOff>
    </xdr:from>
    <xdr:to>
      <xdr:col>14</xdr:col>
      <xdr:colOff>379536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130421</xdr:rowOff>
    </xdr:from>
    <xdr:to>
      <xdr:col>5</xdr:col>
      <xdr:colOff>492125</xdr:colOff>
      <xdr:row>38</xdr:row>
      <xdr:rowOff>186836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1</xdr:col>
      <xdr:colOff>206650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5</xdr:col>
      <xdr:colOff>377336</xdr:colOff>
      <xdr:row>27</xdr:row>
      <xdr:rowOff>12212</xdr:rowOff>
    </xdr:from>
    <xdr:to>
      <xdr:col>10</xdr:col>
      <xdr:colOff>388327</xdr:colOff>
      <xdr:row>38</xdr:row>
      <xdr:rowOff>151424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75711</xdr:colOff>
      <xdr:row>28</xdr:row>
      <xdr:rowOff>48600</xdr:rowOff>
    </xdr:from>
    <xdr:to>
      <xdr:col>4</xdr:col>
      <xdr:colOff>451827</xdr:colOff>
      <xdr:row>38</xdr:row>
      <xdr:rowOff>42740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643877</xdr:colOff>
      <xdr:row>27</xdr:row>
      <xdr:rowOff>120193</xdr:rowOff>
    </xdr:from>
    <xdr:to>
      <xdr:col>10</xdr:col>
      <xdr:colOff>57724</xdr:colOff>
      <xdr:row>38</xdr:row>
      <xdr:rowOff>187600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825748</xdr:colOff>
      <xdr:row>1</xdr:row>
      <xdr:rowOff>163271</xdr:rowOff>
    </xdr:from>
    <xdr:to>
      <xdr:col>4</xdr:col>
      <xdr:colOff>473798</xdr:colOff>
      <xdr:row>4</xdr:row>
      <xdr:rowOff>1943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623" y="353771"/>
          <a:ext cx="1653684" cy="410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189851</xdr:rowOff>
    </xdr:from>
    <xdr:to>
      <xdr:col>2</xdr:col>
      <xdr:colOff>1006896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27</xdr:row>
      <xdr:rowOff>7083</xdr:rowOff>
    </xdr:from>
    <xdr:to>
      <xdr:col>2</xdr:col>
      <xdr:colOff>1044575</xdr:colOff>
      <xdr:row>40</xdr:row>
      <xdr:rowOff>58615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21981</xdr:colOff>
      <xdr:row>2</xdr:row>
      <xdr:rowOff>36634</xdr:rowOff>
    </xdr:from>
    <xdr:to>
      <xdr:col>0</xdr:col>
      <xdr:colOff>600808</xdr:colOff>
      <xdr:row>4</xdr:row>
      <xdr:rowOff>19814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1" y="417634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1</xdr:row>
      <xdr:rowOff>102577</xdr:rowOff>
    </xdr:from>
    <xdr:to>
      <xdr:col>3</xdr:col>
      <xdr:colOff>486506</xdr:colOff>
      <xdr:row>3</xdr:row>
      <xdr:rowOff>131749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732" y="293077"/>
          <a:ext cx="1651486" cy="410172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27</xdr:row>
      <xdr:rowOff>71437</xdr:rowOff>
    </xdr:from>
    <xdr:to>
      <xdr:col>9</xdr:col>
      <xdr:colOff>57150</xdr:colOff>
      <xdr:row>40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BBF88E-78EE-4615-A07B-EE21FD664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248433</xdr:colOff>
      <xdr:row>32</xdr:row>
      <xdr:rowOff>167095</xdr:rowOff>
    </xdr:from>
    <xdr:to>
      <xdr:col>6</xdr:col>
      <xdr:colOff>792285</xdr:colOff>
      <xdr:row>52</xdr:row>
      <xdr:rowOff>69849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8</xdr:col>
      <xdr:colOff>128818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cienda365-my.sharepoint.com/personal/ceroa_dgjp_gob_do/Documents/Escritorio/Copia%20de%20Matriz%20Estadistica%20Boleti&#769;n%20Trimestral%20OAI%20T1%20Inicial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dm."/>
      <sheetName val="Afiliados y Cotizantes"/>
      <sheetName val="Afiliados y Cotizantes v2"/>
      <sheetName val="Afiliados PN"/>
      <sheetName val="Cotizantes"/>
      <sheetName val="Empleador"/>
      <sheetName val="Aportes"/>
      <sheetName val="Traspaso"/>
      <sheetName val="Presupuesto de Pensiones"/>
      <sheetName val="Nómina"/>
      <sheetName val="Autoseguro v2"/>
      <sheetName val="Movimientos"/>
      <sheetName val="Hoja1"/>
      <sheetName val="Tipo de Pension"/>
      <sheetName val="Modalidad"/>
      <sheetName val="Retroactivos"/>
      <sheetName val="Reintegros"/>
      <sheetName val="Créditos Rechazados"/>
      <sheetName val="Recuperación Fondos"/>
      <sheetName val="Servicios"/>
    </sheetNames>
    <sheetDataSet>
      <sheetData sheetId="0" refreshError="1"/>
      <sheetData sheetId="1">
        <row r="6">
          <cell r="B6" t="str">
            <v>Afiliados</v>
          </cell>
        </row>
      </sheetData>
      <sheetData sheetId="2" refreshError="1"/>
      <sheetData sheetId="3">
        <row r="7">
          <cell r="B7" t="str">
            <v>Hombres</v>
          </cell>
          <cell r="C7" t="str">
            <v>Mujeres</v>
          </cell>
          <cell r="D7" t="str">
            <v>Cantidad de Afiliados</v>
          </cell>
        </row>
        <row r="8">
          <cell r="A8" t="str">
            <v>Marzo*</v>
          </cell>
          <cell r="B8">
            <v>42835.16</v>
          </cell>
          <cell r="C8">
            <v>9403</v>
          </cell>
          <cell r="D8">
            <v>52238.16</v>
          </cell>
        </row>
        <row r="9">
          <cell r="A9" t="str">
            <v>Febrero</v>
          </cell>
          <cell r="B9">
            <v>42681</v>
          </cell>
          <cell r="C9">
            <v>9431</v>
          </cell>
          <cell r="D9">
            <v>52112</v>
          </cell>
        </row>
        <row r="10">
          <cell r="A10" t="str">
            <v>Enero</v>
          </cell>
          <cell r="B10">
            <v>42579</v>
          </cell>
          <cell r="C10">
            <v>9394</v>
          </cell>
          <cell r="D10">
            <v>51973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 t="str">
            <v>Nómina Mensual Discapacidad Civil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0"/>
  <sheetViews>
    <sheetView showGridLines="0" tabSelected="1" topLeftCell="A4" zoomScale="130" zoomScaleNormal="130" workbookViewId="0">
      <selection activeCell="B12" sqref="B12"/>
    </sheetView>
  </sheetViews>
  <sheetFormatPr baseColWidth="10" defaultColWidth="11.42578125" defaultRowHeight="15" x14ac:dyDescent="0.25"/>
  <cols>
    <col min="1" max="1" width="11.7109375" style="1" customWidth="1"/>
    <col min="2" max="2" width="15.42578125" style="1" customWidth="1"/>
    <col min="3" max="3" width="13.7109375" style="1" bestFit="1" customWidth="1"/>
    <col min="4" max="4" width="11.42578125" style="1" bestFit="1" customWidth="1"/>
    <col min="5" max="5" width="13.140625" style="1" customWidth="1"/>
    <col min="6" max="6" width="11.42578125" style="1" bestFit="1" customWidth="1"/>
    <col min="7" max="16384" width="11.42578125" style="1"/>
  </cols>
  <sheetData>
    <row r="1" spans="1:8" x14ac:dyDescent="0.25">
      <c r="A1" s="304" t="s">
        <v>0</v>
      </c>
      <c r="B1" s="304"/>
      <c r="C1" s="304"/>
      <c r="D1" s="304"/>
      <c r="E1" s="304"/>
      <c r="F1" s="304"/>
    </row>
    <row r="2" spans="1:8" x14ac:dyDescent="0.25">
      <c r="A2" s="304" t="s">
        <v>119</v>
      </c>
      <c r="B2" s="304"/>
      <c r="C2" s="304"/>
      <c r="D2" s="304"/>
      <c r="E2" s="304"/>
      <c r="F2" s="304"/>
    </row>
    <row r="3" spans="1:8" x14ac:dyDescent="0.25">
      <c r="A3" s="304" t="s">
        <v>154</v>
      </c>
      <c r="B3" s="304"/>
      <c r="C3" s="304"/>
      <c r="D3" s="304"/>
      <c r="E3" s="304"/>
      <c r="F3" s="304"/>
    </row>
    <row r="4" spans="1:8" x14ac:dyDescent="0.25">
      <c r="A4" s="304" t="s">
        <v>228</v>
      </c>
      <c r="B4" s="304"/>
      <c r="C4" s="304"/>
      <c r="D4" s="304"/>
      <c r="E4" s="304"/>
      <c r="F4" s="304"/>
    </row>
    <row r="5" spans="1:8" x14ac:dyDescent="0.25">
      <c r="A5" s="305" t="s">
        <v>229</v>
      </c>
      <c r="B5" s="305"/>
      <c r="C5" s="305"/>
      <c r="D5" s="305"/>
      <c r="E5" s="305"/>
      <c r="F5" s="305"/>
    </row>
    <row r="6" spans="1:8" x14ac:dyDescent="0.25">
      <c r="A6" s="303" t="s">
        <v>1</v>
      </c>
      <c r="B6" s="303" t="s">
        <v>177</v>
      </c>
      <c r="C6" s="303" t="s">
        <v>178</v>
      </c>
      <c r="D6" s="303"/>
      <c r="E6" s="303" t="s">
        <v>31</v>
      </c>
      <c r="F6" s="303"/>
    </row>
    <row r="7" spans="1:8" ht="11.25" customHeight="1" x14ac:dyDescent="0.25">
      <c r="A7" s="303"/>
      <c r="B7" s="303"/>
      <c r="C7" s="303"/>
      <c r="D7" s="303"/>
      <c r="E7" s="303"/>
      <c r="F7" s="303"/>
    </row>
    <row r="8" spans="1:8" x14ac:dyDescent="0.25">
      <c r="A8" s="140"/>
      <c r="B8" s="141" t="s">
        <v>18</v>
      </c>
      <c r="C8" s="141" t="s">
        <v>32</v>
      </c>
      <c r="D8" s="141" t="s">
        <v>33</v>
      </c>
      <c r="E8" s="141" t="s">
        <v>32</v>
      </c>
      <c r="F8" s="141" t="s">
        <v>33</v>
      </c>
      <c r="G8" s="142"/>
      <c r="H8" s="142"/>
    </row>
    <row r="9" spans="1:8" hidden="1" x14ac:dyDescent="0.25">
      <c r="A9" s="217" t="s">
        <v>126</v>
      </c>
      <c r="B9" s="253"/>
      <c r="C9" s="254"/>
      <c r="D9" s="218"/>
      <c r="E9" s="251"/>
      <c r="F9" s="218"/>
      <c r="G9" s="142"/>
      <c r="H9" s="142"/>
    </row>
    <row r="10" spans="1:8" x14ac:dyDescent="0.25">
      <c r="A10" s="94" t="s">
        <v>84</v>
      </c>
      <c r="B10" s="265">
        <v>56970454.710000001</v>
      </c>
      <c r="C10" s="265">
        <v>31201788.780000001</v>
      </c>
      <c r="D10" s="2">
        <f>+C10/B10</f>
        <v>0.54768368865630912</v>
      </c>
      <c r="E10" s="252">
        <f>+B10-C10</f>
        <v>25768665.93</v>
      </c>
      <c r="F10" s="4">
        <f>(E10/B10)</f>
        <v>0.45231631134369088</v>
      </c>
      <c r="G10" s="142"/>
      <c r="H10" s="142"/>
    </row>
    <row r="11" spans="1:8" x14ac:dyDescent="0.25">
      <c r="A11" s="94" t="s">
        <v>83</v>
      </c>
      <c r="B11" s="265">
        <v>32499074.32</v>
      </c>
      <c r="C11" s="265">
        <v>30828308.120000001</v>
      </c>
      <c r="D11" s="2">
        <f>+C11/B11</f>
        <v>0.94859034495724681</v>
      </c>
      <c r="E11" s="252">
        <f>+B11-C11</f>
        <v>1670766.1999999993</v>
      </c>
      <c r="F11" s="4">
        <f>(E11/B11)</f>
        <v>5.1409655042753209E-2</v>
      </c>
      <c r="G11" s="142"/>
      <c r="H11" s="142"/>
    </row>
    <row r="12" spans="1:8" x14ac:dyDescent="0.25">
      <c r="A12" s="94" t="s">
        <v>82</v>
      </c>
      <c r="B12" s="265">
        <v>27162185.039999999</v>
      </c>
      <c r="C12" s="265">
        <v>26698552.699999999</v>
      </c>
      <c r="D12" s="2">
        <f>+C12/B12</f>
        <v>0.98293096305333172</v>
      </c>
      <c r="E12" s="252">
        <f>+B12-C12</f>
        <v>463632.33999999985</v>
      </c>
      <c r="F12" s="4">
        <f>(E12/B12)</f>
        <v>1.706903694666826E-2</v>
      </c>
      <c r="G12" s="142"/>
      <c r="H12" s="142"/>
    </row>
    <row r="13" spans="1:8" x14ac:dyDescent="0.25">
      <c r="A13" s="145" t="s">
        <v>91</v>
      </c>
      <c r="B13" s="8">
        <f>SUM(B10:B12)</f>
        <v>116631714.06999999</v>
      </c>
      <c r="C13" s="8">
        <f>SUM(C10:C12)</f>
        <v>88728649.600000009</v>
      </c>
      <c r="D13" s="3">
        <f>(C13/B13)</f>
        <v>0.76075920093866467</v>
      </c>
      <c r="E13" s="255">
        <f>SUM(E10:E12)</f>
        <v>27903064.469999999</v>
      </c>
      <c r="F13" s="5">
        <f>(E13/B13)</f>
        <v>0.23924079906133544</v>
      </c>
      <c r="G13" s="142"/>
      <c r="H13" s="142"/>
    </row>
    <row r="14" spans="1:8" hidden="1" x14ac:dyDescent="0.25">
      <c r="A14" s="94" t="s">
        <v>34</v>
      </c>
      <c r="B14" s="146"/>
      <c r="C14" s="147"/>
      <c r="D14" s="2" t="e">
        <f t="shared" ref="D14:D25" si="0">+C14/B14</f>
        <v>#DIV/0!</v>
      </c>
      <c r="E14" s="148"/>
      <c r="F14" s="4" t="e">
        <f t="shared" ref="F14:F25" si="1">(E14/B14)</f>
        <v>#DIV/0!</v>
      </c>
      <c r="G14" s="142"/>
      <c r="H14" s="142"/>
    </row>
    <row r="15" spans="1:8" hidden="1" x14ac:dyDescent="0.25">
      <c r="A15" s="94" t="s">
        <v>35</v>
      </c>
      <c r="B15" s="146"/>
      <c r="C15" s="147"/>
      <c r="D15" s="2" t="e">
        <f t="shared" si="0"/>
        <v>#DIV/0!</v>
      </c>
      <c r="E15" s="148"/>
      <c r="F15" s="4" t="e">
        <f t="shared" si="1"/>
        <v>#DIV/0!</v>
      </c>
      <c r="G15" s="142"/>
      <c r="H15" s="142"/>
    </row>
    <row r="16" spans="1:8" hidden="1" x14ac:dyDescent="0.25">
      <c r="A16" s="94" t="s">
        <v>36</v>
      </c>
      <c r="B16" s="146"/>
      <c r="C16" s="147"/>
      <c r="D16" s="2" t="e">
        <f t="shared" si="0"/>
        <v>#DIV/0!</v>
      </c>
      <c r="E16" s="148"/>
      <c r="F16" s="4" t="e">
        <f t="shared" si="1"/>
        <v>#DIV/0!</v>
      </c>
      <c r="G16" s="142"/>
      <c r="H16" s="142"/>
    </row>
    <row r="17" spans="1:8" hidden="1" x14ac:dyDescent="0.25">
      <c r="A17" s="145" t="s">
        <v>129</v>
      </c>
      <c r="B17" s="8">
        <f>SUM(B14:B16)</f>
        <v>0</v>
      </c>
      <c r="C17" s="8">
        <f>SUM(C14:C16)</f>
        <v>0</v>
      </c>
      <c r="D17" s="3" t="e">
        <f>(C17/B17)</f>
        <v>#DIV/0!</v>
      </c>
      <c r="E17" s="9">
        <f>SUM(E14:E16)</f>
        <v>0</v>
      </c>
      <c r="F17" s="5" t="e">
        <f>(E17/B17)</f>
        <v>#DIV/0!</v>
      </c>
      <c r="G17" s="142"/>
      <c r="H17" s="142"/>
    </row>
    <row r="18" spans="1:8" hidden="1" x14ac:dyDescent="0.25">
      <c r="A18" s="94" t="s">
        <v>130</v>
      </c>
      <c r="B18" s="146"/>
      <c r="C18" s="147"/>
      <c r="D18" s="2" t="e">
        <f t="shared" si="0"/>
        <v>#DIV/0!</v>
      </c>
      <c r="E18" s="148"/>
      <c r="F18" s="4" t="e">
        <f t="shared" si="1"/>
        <v>#DIV/0!</v>
      </c>
      <c r="G18" s="142"/>
      <c r="H18" s="142"/>
    </row>
    <row r="19" spans="1:8" hidden="1" x14ac:dyDescent="0.25">
      <c r="A19" s="94" t="s">
        <v>86</v>
      </c>
      <c r="B19" s="146"/>
      <c r="C19" s="147"/>
      <c r="D19" s="2" t="e">
        <f t="shared" si="0"/>
        <v>#DIV/0!</v>
      </c>
      <c r="E19" s="148"/>
      <c r="F19" s="4" t="e">
        <f t="shared" si="1"/>
        <v>#DIV/0!</v>
      </c>
      <c r="G19" s="142"/>
      <c r="H19" s="142"/>
    </row>
    <row r="20" spans="1:8" hidden="1" x14ac:dyDescent="0.25">
      <c r="A20" s="94" t="s">
        <v>87</v>
      </c>
      <c r="B20" s="146"/>
      <c r="C20" s="147"/>
      <c r="D20" s="2" t="e">
        <f t="shared" si="0"/>
        <v>#DIV/0!</v>
      </c>
      <c r="E20" s="148"/>
      <c r="F20" s="4" t="e">
        <f t="shared" si="1"/>
        <v>#DIV/0!</v>
      </c>
      <c r="G20" s="142"/>
      <c r="H20" s="142"/>
    </row>
    <row r="21" spans="1:8" hidden="1" x14ac:dyDescent="0.25">
      <c r="A21" s="145" t="s">
        <v>92</v>
      </c>
      <c r="B21" s="8">
        <f>SUM(B18:B20)</f>
        <v>0</v>
      </c>
      <c r="C21" s="8">
        <f>SUM(C18:C20)</f>
        <v>0</v>
      </c>
      <c r="D21" s="3" t="e">
        <f>(C21/B21)</f>
        <v>#DIV/0!</v>
      </c>
      <c r="E21" s="9">
        <f>SUM(E18:E20)</f>
        <v>0</v>
      </c>
      <c r="F21" s="5" t="e">
        <f>(E21/B21)</f>
        <v>#DIV/0!</v>
      </c>
      <c r="G21" s="142"/>
      <c r="H21" s="142"/>
    </row>
    <row r="22" spans="1:8" hidden="1" x14ac:dyDescent="0.25">
      <c r="A22" s="94" t="s">
        <v>88</v>
      </c>
      <c r="B22" s="146"/>
      <c r="C22" s="147"/>
      <c r="D22" s="2" t="e">
        <f t="shared" si="0"/>
        <v>#DIV/0!</v>
      </c>
      <c r="E22" s="148"/>
      <c r="F22" s="4" t="e">
        <f t="shared" si="1"/>
        <v>#DIV/0!</v>
      </c>
      <c r="G22" s="142"/>
      <c r="H22" s="142"/>
    </row>
    <row r="23" spans="1:8" hidden="1" x14ac:dyDescent="0.25">
      <c r="A23" s="94" t="s">
        <v>89</v>
      </c>
      <c r="B23" s="146"/>
      <c r="C23" s="147"/>
      <c r="D23" s="2" t="e">
        <f t="shared" si="0"/>
        <v>#DIV/0!</v>
      </c>
      <c r="E23" s="148"/>
      <c r="F23" s="4" t="e">
        <f t="shared" si="1"/>
        <v>#DIV/0!</v>
      </c>
      <c r="G23" s="142"/>
      <c r="H23" s="142"/>
    </row>
    <row r="24" spans="1:8" hidden="1" x14ac:dyDescent="0.25">
      <c r="A24" s="94" t="s">
        <v>90</v>
      </c>
      <c r="B24" s="146"/>
      <c r="C24" s="147"/>
      <c r="D24" s="2" t="e">
        <f t="shared" si="0"/>
        <v>#DIV/0!</v>
      </c>
      <c r="E24" s="148"/>
      <c r="F24" s="4" t="e">
        <f t="shared" si="1"/>
        <v>#DIV/0!</v>
      </c>
      <c r="G24" s="142"/>
      <c r="H24" s="142"/>
    </row>
    <row r="25" spans="1:8" hidden="1" x14ac:dyDescent="0.25">
      <c r="A25" s="94" t="s">
        <v>126</v>
      </c>
      <c r="B25" s="146"/>
      <c r="C25" s="147"/>
      <c r="D25" s="2" t="e">
        <f t="shared" si="0"/>
        <v>#DIV/0!</v>
      </c>
      <c r="E25" s="148"/>
      <c r="F25" s="4" t="e">
        <f t="shared" si="1"/>
        <v>#DIV/0!</v>
      </c>
      <c r="G25" s="142"/>
      <c r="H25" s="142"/>
    </row>
    <row r="26" spans="1:8" hidden="1" x14ac:dyDescent="0.25">
      <c r="A26" s="145" t="s">
        <v>93</v>
      </c>
      <c r="B26" s="8">
        <f>SUM(B22:B25)</f>
        <v>0</v>
      </c>
      <c r="C26" s="8">
        <f>SUM(C22:C25)</f>
        <v>0</v>
      </c>
      <c r="D26" s="3" t="e">
        <f>(C26/B26)</f>
        <v>#DIV/0!</v>
      </c>
      <c r="E26" s="9">
        <f>SUM(E22:E25)</f>
        <v>0</v>
      </c>
      <c r="F26" s="5" t="e">
        <f>(E26/B26)</f>
        <v>#DIV/0!</v>
      </c>
      <c r="G26" s="142"/>
      <c r="H26" s="142"/>
    </row>
    <row r="27" spans="1:8" hidden="1" x14ac:dyDescent="0.25">
      <c r="A27" s="149" t="s">
        <v>9</v>
      </c>
      <c r="B27" s="10">
        <f>+B13+B17+B21+B26</f>
        <v>116631714.06999999</v>
      </c>
      <c r="C27" s="10">
        <f>+C13+C17+C21+C26</f>
        <v>88728649.600000009</v>
      </c>
      <c r="D27" s="7">
        <f>(C27/B27)</f>
        <v>0.76075920093866467</v>
      </c>
      <c r="E27" s="11">
        <f>+E13+E17+E21+E26</f>
        <v>27903064.469999999</v>
      </c>
      <c r="F27" s="6">
        <f>(E27/B27)</f>
        <v>0.23924079906133544</v>
      </c>
      <c r="G27" s="142"/>
      <c r="H27" s="142"/>
    </row>
    <row r="28" spans="1:8" x14ac:dyDescent="0.25">
      <c r="A28" s="150" t="s">
        <v>155</v>
      </c>
      <c r="B28" s="142"/>
      <c r="C28" s="142"/>
      <c r="D28" s="142"/>
      <c r="E28" s="142"/>
      <c r="F28" s="142"/>
      <c r="G28" s="142"/>
      <c r="H28" s="142"/>
    </row>
    <row r="29" spans="1:8" s="15" customFormat="1" ht="11.25" x14ac:dyDescent="0.2">
      <c r="A29" s="280" t="s">
        <v>250</v>
      </c>
      <c r="B29" s="151"/>
      <c r="C29" s="151"/>
      <c r="D29" s="151"/>
      <c r="E29" s="151"/>
      <c r="F29" s="151"/>
      <c r="G29" s="151"/>
      <c r="H29" s="151"/>
    </row>
    <row r="30" spans="1:8" x14ac:dyDescent="0.25">
      <c r="A30" s="142"/>
      <c r="B30" s="142"/>
      <c r="C30" s="142"/>
      <c r="D30" s="142"/>
      <c r="E30" s="142"/>
      <c r="F30" s="142"/>
      <c r="G30" s="142"/>
      <c r="H30" s="142"/>
    </row>
    <row r="31" spans="1:8" x14ac:dyDescent="0.25">
      <c r="A31" s="142"/>
      <c r="B31" s="142"/>
      <c r="C31" s="142"/>
      <c r="D31" s="142"/>
      <c r="E31" s="142"/>
      <c r="F31" s="142"/>
      <c r="G31" s="142"/>
      <c r="H31" s="142"/>
    </row>
    <row r="32" spans="1:8" x14ac:dyDescent="0.25">
      <c r="A32" s="142"/>
      <c r="B32" s="142"/>
      <c r="C32" s="142"/>
      <c r="D32" s="142"/>
      <c r="E32" s="142"/>
      <c r="F32" s="142"/>
      <c r="G32" s="142"/>
      <c r="H32" s="142"/>
    </row>
    <row r="33" spans="1:8" x14ac:dyDescent="0.25">
      <c r="A33" s="142"/>
      <c r="B33" s="142"/>
      <c r="C33" s="142"/>
      <c r="D33" s="142"/>
      <c r="E33" s="142"/>
      <c r="F33" s="142"/>
      <c r="G33" s="142"/>
      <c r="H33" s="142"/>
    </row>
    <row r="34" spans="1:8" x14ac:dyDescent="0.25">
      <c r="A34" s="142"/>
      <c r="B34" s="142"/>
      <c r="C34" s="142"/>
      <c r="D34" s="142"/>
      <c r="E34" s="142"/>
      <c r="F34" s="142"/>
      <c r="G34" s="142"/>
      <c r="H34" s="142"/>
    </row>
    <row r="35" spans="1:8" x14ac:dyDescent="0.25">
      <c r="A35" s="142"/>
      <c r="B35" s="142"/>
      <c r="C35" s="142"/>
      <c r="D35" s="142"/>
      <c r="E35" s="142"/>
      <c r="F35" s="142"/>
      <c r="G35" s="142"/>
      <c r="H35" s="142"/>
    </row>
    <row r="36" spans="1:8" x14ac:dyDescent="0.25">
      <c r="A36" s="142"/>
      <c r="B36" s="142"/>
      <c r="C36" s="142"/>
      <c r="D36" s="142"/>
      <c r="E36" s="142"/>
      <c r="F36" s="142"/>
      <c r="G36" s="142"/>
      <c r="H36" s="142"/>
    </row>
    <row r="37" spans="1:8" x14ac:dyDescent="0.25">
      <c r="A37" s="142"/>
      <c r="B37" s="142"/>
      <c r="C37" s="142"/>
      <c r="D37" s="142"/>
      <c r="E37" s="142"/>
      <c r="F37" s="142"/>
      <c r="G37" s="142"/>
      <c r="H37" s="142"/>
    </row>
    <row r="38" spans="1:8" x14ac:dyDescent="0.25">
      <c r="A38" s="142"/>
      <c r="B38" s="142"/>
      <c r="C38" s="142"/>
      <c r="D38" s="142"/>
      <c r="E38" s="142"/>
      <c r="F38" s="142"/>
      <c r="G38" s="142"/>
      <c r="H38" s="142"/>
    </row>
    <row r="39" spans="1:8" x14ac:dyDescent="0.25">
      <c r="A39" s="142"/>
      <c r="B39" s="142"/>
      <c r="C39" s="142"/>
      <c r="D39" s="142"/>
      <c r="E39" s="142"/>
      <c r="F39" s="142"/>
      <c r="G39" s="142"/>
      <c r="H39" s="142"/>
    </row>
    <row r="40" spans="1:8" x14ac:dyDescent="0.25">
      <c r="A40" s="142"/>
      <c r="B40" s="142"/>
      <c r="C40" s="142"/>
      <c r="D40" s="142"/>
      <c r="E40" s="142"/>
      <c r="F40" s="142"/>
      <c r="G40" s="142"/>
      <c r="H40" s="142"/>
    </row>
    <row r="41" spans="1:8" x14ac:dyDescent="0.25">
      <c r="A41" s="142"/>
      <c r="B41" s="142"/>
      <c r="C41" s="142"/>
      <c r="D41" s="142"/>
      <c r="E41" s="142"/>
      <c r="F41" s="142"/>
      <c r="G41" s="142"/>
      <c r="H41" s="142"/>
    </row>
    <row r="42" spans="1:8" x14ac:dyDescent="0.25">
      <c r="A42" s="142"/>
      <c r="B42" s="142"/>
      <c r="C42" s="142"/>
      <c r="D42" s="142"/>
      <c r="E42" s="142"/>
      <c r="F42" s="142"/>
      <c r="G42" s="142"/>
      <c r="H42" s="142"/>
    </row>
    <row r="43" spans="1:8" x14ac:dyDescent="0.25">
      <c r="A43" s="142"/>
      <c r="B43" s="142"/>
      <c r="C43" s="142"/>
      <c r="D43" s="142"/>
      <c r="E43" s="142"/>
      <c r="F43" s="142"/>
      <c r="G43" s="142"/>
      <c r="H43" s="142"/>
    </row>
    <row r="44" spans="1:8" x14ac:dyDescent="0.25">
      <c r="A44" s="142"/>
      <c r="B44" s="142"/>
      <c r="C44" s="142"/>
      <c r="D44" s="142"/>
      <c r="E44" s="142"/>
      <c r="F44" s="142"/>
      <c r="G44" s="142"/>
      <c r="H44" s="142"/>
    </row>
    <row r="45" spans="1:8" x14ac:dyDescent="0.25">
      <c r="A45" s="142"/>
      <c r="B45" s="142"/>
      <c r="C45" s="142"/>
      <c r="D45" s="142"/>
      <c r="E45" s="142"/>
      <c r="F45" s="142"/>
      <c r="G45" s="142"/>
      <c r="H45" s="142"/>
    </row>
    <row r="46" spans="1:8" x14ac:dyDescent="0.25">
      <c r="A46" s="142"/>
      <c r="B46" s="142"/>
      <c r="C46" s="142"/>
      <c r="D46" s="142"/>
      <c r="E46" s="142"/>
      <c r="F46" s="142"/>
      <c r="G46" s="142"/>
      <c r="H46" s="142"/>
    </row>
    <row r="50" spans="1:6" x14ac:dyDescent="0.25">
      <c r="A50" s="94"/>
      <c r="B50" s="143"/>
      <c r="C50" s="143"/>
      <c r="D50" s="2"/>
      <c r="E50" s="144"/>
      <c r="F50" s="4"/>
    </row>
  </sheetData>
  <mergeCells count="9">
    <mergeCell ref="B6:B7"/>
    <mergeCell ref="A6:A7"/>
    <mergeCell ref="A1:F1"/>
    <mergeCell ref="A2:F2"/>
    <mergeCell ref="A3:F3"/>
    <mergeCell ref="A5:F5"/>
    <mergeCell ref="C6:D7"/>
    <mergeCell ref="E6:F7"/>
    <mergeCell ref="A4:F4"/>
  </mergeCells>
  <pageMargins left="0.7" right="0.7" top="0.75" bottom="0.75" header="0.3" footer="0.3"/>
  <pageSetup paperSize="9" scale="99" orientation="portrait" r:id="rId1"/>
  <ignoredErrors>
    <ignoredError sqref="E11" unlockedFormula="1"/>
    <ignoredError sqref="D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4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11.42578125" style="1"/>
    <col min="2" max="11" width="13.42578125" style="1" customWidth="1"/>
    <col min="12" max="16384" width="11.42578125" style="1"/>
  </cols>
  <sheetData>
    <row r="1" spans="1:13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3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3" x14ac:dyDescent="0.25">
      <c r="A3" s="304" t="s">
        <v>159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3" x14ac:dyDescent="0.25">
      <c r="A4" s="304" t="s">
        <v>228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22"/>
      <c r="M4" s="22"/>
    </row>
    <row r="5" spans="1:13" x14ac:dyDescent="0.25">
      <c r="A5" s="305" t="s">
        <v>229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3" x14ac:dyDescent="0.25">
      <c r="A6" s="326" t="s">
        <v>23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1:13" ht="15" customHeight="1" x14ac:dyDescent="0.25">
      <c r="A7" s="180"/>
      <c r="B7" s="307" t="s">
        <v>19</v>
      </c>
      <c r="C7" s="307"/>
      <c r="D7" s="307" t="s">
        <v>149</v>
      </c>
      <c r="E7" s="307"/>
      <c r="F7" s="307" t="s">
        <v>20</v>
      </c>
      <c r="G7" s="307"/>
      <c r="H7" s="327" t="s">
        <v>21</v>
      </c>
      <c r="I7" s="327"/>
      <c r="J7" s="327" t="s">
        <v>9</v>
      </c>
      <c r="K7" s="327"/>
      <c r="L7" s="142"/>
      <c r="M7" s="142"/>
    </row>
    <row r="8" spans="1:13" x14ac:dyDescent="0.25">
      <c r="A8" s="157" t="s">
        <v>1</v>
      </c>
      <c r="B8" s="157" t="s">
        <v>22</v>
      </c>
      <c r="C8" s="157" t="s">
        <v>18</v>
      </c>
      <c r="D8" s="157" t="s">
        <v>22</v>
      </c>
      <c r="E8" s="157" t="s">
        <v>18</v>
      </c>
      <c r="F8" s="157" t="s">
        <v>22</v>
      </c>
      <c r="G8" s="157" t="s">
        <v>18</v>
      </c>
      <c r="H8" s="157" t="s">
        <v>22</v>
      </c>
      <c r="I8" s="157" t="s">
        <v>18</v>
      </c>
      <c r="J8" s="157" t="s">
        <v>22</v>
      </c>
      <c r="K8" s="157" t="s">
        <v>18</v>
      </c>
      <c r="L8" s="142"/>
      <c r="M8" s="142"/>
    </row>
    <row r="9" spans="1:13" x14ac:dyDescent="0.25">
      <c r="A9" s="74" t="s">
        <v>84</v>
      </c>
      <c r="B9" s="181">
        <v>2941</v>
      </c>
      <c r="C9" s="181">
        <v>35613107.460000001</v>
      </c>
      <c r="D9" s="181">
        <v>118</v>
      </c>
      <c r="E9" s="181">
        <v>3790433.8499999996</v>
      </c>
      <c r="F9" s="181">
        <v>484</v>
      </c>
      <c r="G9" s="181">
        <v>5522220.6500000004</v>
      </c>
      <c r="H9" s="181">
        <v>1225</v>
      </c>
      <c r="I9" s="181">
        <v>9735102.879999999</v>
      </c>
      <c r="J9" s="50">
        <f t="shared" ref="J9" si="0">+B9-(F9+H9)</f>
        <v>1232</v>
      </c>
      <c r="K9" s="84">
        <f t="shared" ref="K9" si="1">+(E9+C9)-(G9+I9)</f>
        <v>24146217.780000001</v>
      </c>
      <c r="L9" s="142"/>
      <c r="M9" s="142"/>
    </row>
    <row r="10" spans="1:13" x14ac:dyDescent="0.25">
      <c r="A10" s="74" t="s">
        <v>83</v>
      </c>
      <c r="B10" s="181">
        <v>1787</v>
      </c>
      <c r="C10" s="181">
        <v>27896318.800000001</v>
      </c>
      <c r="D10" s="181">
        <v>30</v>
      </c>
      <c r="E10" s="181">
        <v>291757.68</v>
      </c>
      <c r="F10" s="181">
        <v>423</v>
      </c>
      <c r="G10" s="181">
        <v>5577466.4299999997</v>
      </c>
      <c r="H10" s="181">
        <v>161</v>
      </c>
      <c r="I10" s="181">
        <v>2431642.0299999998</v>
      </c>
      <c r="J10" s="50">
        <f t="shared" ref="J10:J23" si="2">+B10-(F10+H10)</f>
        <v>1203</v>
      </c>
      <c r="K10" s="84">
        <f t="shared" ref="K10" si="3">+(E10+C10)-(G10+I10)</f>
        <v>20178968.020000003</v>
      </c>
      <c r="L10" s="142"/>
      <c r="M10" s="142"/>
    </row>
    <row r="11" spans="1:13" x14ac:dyDescent="0.25">
      <c r="A11" s="74" t="s">
        <v>82</v>
      </c>
      <c r="B11" s="181">
        <v>2498</v>
      </c>
      <c r="C11" s="181">
        <v>30744663.449999999</v>
      </c>
      <c r="D11" s="181">
        <v>89998</v>
      </c>
      <c r="E11" s="181">
        <v>179403978.96000001</v>
      </c>
      <c r="F11" s="181">
        <v>319</v>
      </c>
      <c r="G11" s="181">
        <v>3580963.2600000002</v>
      </c>
      <c r="H11" s="181">
        <v>330</v>
      </c>
      <c r="I11" s="181">
        <v>4418762.09</v>
      </c>
      <c r="J11" s="50">
        <f>+B11-(F11+H11)</f>
        <v>1849</v>
      </c>
      <c r="K11" s="84">
        <f>+(E11+C11)-(G11+I11)</f>
        <v>202148917.06</v>
      </c>
      <c r="L11" s="142"/>
      <c r="M11" s="142"/>
    </row>
    <row r="12" spans="1:13" x14ac:dyDescent="0.25">
      <c r="A12" s="49" t="s">
        <v>91</v>
      </c>
      <c r="B12" s="8">
        <f>SUM(B9:B11)</f>
        <v>7226</v>
      </c>
      <c r="C12" s="8">
        <f>SUM(C9:C11)</f>
        <v>94254089.710000008</v>
      </c>
      <c r="D12" s="8">
        <f>SUM(D9:D11)</f>
        <v>90146</v>
      </c>
      <c r="E12" s="8">
        <f>SUM(E9:E11)</f>
        <v>183486170.49000001</v>
      </c>
      <c r="F12" s="8">
        <f t="shared" ref="F12:I12" si="4">SUM(F9:F11)</f>
        <v>1226</v>
      </c>
      <c r="G12" s="8">
        <f t="shared" si="4"/>
        <v>14680650.34</v>
      </c>
      <c r="H12" s="8">
        <f t="shared" si="4"/>
        <v>1716</v>
      </c>
      <c r="I12" s="8">
        <f t="shared" si="4"/>
        <v>16585506.999999998</v>
      </c>
      <c r="J12" s="8">
        <f>SUM(J9:J11)</f>
        <v>4284</v>
      </c>
      <c r="K12" s="85">
        <f>SUM(K9:K11)</f>
        <v>246474102.86000001</v>
      </c>
      <c r="L12" s="142"/>
      <c r="M12" s="142"/>
    </row>
    <row r="13" spans="1:13" hidden="1" x14ac:dyDescent="0.25">
      <c r="A13" s="74" t="s">
        <v>34</v>
      </c>
      <c r="B13" s="181"/>
      <c r="C13" s="181"/>
      <c r="D13" s="181"/>
      <c r="E13" s="181"/>
      <c r="F13" s="181"/>
      <c r="G13" s="181"/>
      <c r="H13" s="181"/>
      <c r="I13" s="181"/>
      <c r="J13" s="50">
        <f t="shared" si="2"/>
        <v>0</v>
      </c>
      <c r="K13" s="50">
        <f t="shared" ref="K13:K23" si="5">+G13+I13+E13+C13</f>
        <v>0</v>
      </c>
      <c r="L13" s="142"/>
      <c r="M13" s="142"/>
    </row>
    <row r="14" spans="1:13" hidden="1" x14ac:dyDescent="0.25">
      <c r="A14" s="74" t="s">
        <v>35</v>
      </c>
      <c r="B14" s="181"/>
      <c r="C14" s="181"/>
      <c r="D14" s="181"/>
      <c r="E14" s="181"/>
      <c r="F14" s="181"/>
      <c r="G14" s="181"/>
      <c r="H14" s="181"/>
      <c r="I14" s="181"/>
      <c r="J14" s="50">
        <f t="shared" si="2"/>
        <v>0</v>
      </c>
      <c r="K14" s="50">
        <f t="shared" si="5"/>
        <v>0</v>
      </c>
      <c r="L14" s="142"/>
      <c r="M14" s="142"/>
    </row>
    <row r="15" spans="1:13" hidden="1" x14ac:dyDescent="0.25">
      <c r="A15" s="74" t="s">
        <v>36</v>
      </c>
      <c r="B15" s="181"/>
      <c r="C15" s="181"/>
      <c r="D15" s="181"/>
      <c r="E15" s="181"/>
      <c r="F15" s="181"/>
      <c r="G15" s="181"/>
      <c r="H15" s="181"/>
      <c r="I15" s="181"/>
      <c r="J15" s="50">
        <f t="shared" si="2"/>
        <v>0</v>
      </c>
      <c r="K15" s="50">
        <f t="shared" si="5"/>
        <v>0</v>
      </c>
      <c r="L15" s="142"/>
      <c r="M15" s="142"/>
    </row>
    <row r="16" spans="1:13" hidden="1" x14ac:dyDescent="0.25">
      <c r="A16" s="49" t="s">
        <v>129</v>
      </c>
      <c r="B16" s="8">
        <f t="shared" ref="B16:K16" si="6">SUM(B13:B15)</f>
        <v>0</v>
      </c>
      <c r="C16" s="8">
        <f t="shared" si="6"/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142"/>
      <c r="M16" s="142"/>
    </row>
    <row r="17" spans="1:13" hidden="1" x14ac:dyDescent="0.25">
      <c r="A17" s="74" t="s">
        <v>85</v>
      </c>
      <c r="B17" s="181"/>
      <c r="C17" s="181"/>
      <c r="D17" s="181"/>
      <c r="E17" s="181"/>
      <c r="F17" s="181"/>
      <c r="G17" s="181"/>
      <c r="H17" s="181"/>
      <c r="I17" s="181"/>
      <c r="J17" s="50">
        <f t="shared" si="2"/>
        <v>0</v>
      </c>
      <c r="K17" s="50">
        <f t="shared" si="5"/>
        <v>0</v>
      </c>
      <c r="L17" s="142"/>
      <c r="M17" s="142"/>
    </row>
    <row r="18" spans="1:13" hidden="1" x14ac:dyDescent="0.25">
      <c r="A18" s="74" t="s">
        <v>86</v>
      </c>
      <c r="B18" s="181"/>
      <c r="C18" s="181"/>
      <c r="D18" s="181"/>
      <c r="E18" s="181"/>
      <c r="F18" s="181"/>
      <c r="G18" s="181"/>
      <c r="H18" s="181"/>
      <c r="I18" s="181"/>
      <c r="J18" s="50">
        <f t="shared" si="2"/>
        <v>0</v>
      </c>
      <c r="K18" s="50">
        <f t="shared" si="5"/>
        <v>0</v>
      </c>
      <c r="L18" s="142"/>
      <c r="M18" s="142"/>
    </row>
    <row r="19" spans="1:13" hidden="1" x14ac:dyDescent="0.25">
      <c r="A19" s="74" t="s">
        <v>87</v>
      </c>
      <c r="B19" s="181"/>
      <c r="C19" s="181"/>
      <c r="D19" s="181"/>
      <c r="E19" s="181"/>
      <c r="F19" s="181"/>
      <c r="G19" s="181"/>
      <c r="H19" s="181"/>
      <c r="I19" s="181"/>
      <c r="J19" s="50">
        <f t="shared" si="2"/>
        <v>0</v>
      </c>
      <c r="K19" s="50">
        <f t="shared" si="5"/>
        <v>0</v>
      </c>
      <c r="L19" s="142"/>
      <c r="M19" s="142"/>
    </row>
    <row r="20" spans="1:13" hidden="1" x14ac:dyDescent="0.25">
      <c r="A20" s="49" t="s">
        <v>92</v>
      </c>
      <c r="B20" s="8">
        <f t="shared" ref="B20:K20" si="7">SUM(B17:B19)</f>
        <v>0</v>
      </c>
      <c r="C20" s="8">
        <f t="shared" si="7"/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142"/>
      <c r="M20" s="142"/>
    </row>
    <row r="21" spans="1:13" hidden="1" x14ac:dyDescent="0.25">
      <c r="A21" s="74" t="s">
        <v>88</v>
      </c>
      <c r="B21" s="181"/>
      <c r="C21" s="181"/>
      <c r="D21" s="181"/>
      <c r="E21" s="181"/>
      <c r="F21" s="181"/>
      <c r="G21" s="181"/>
      <c r="H21" s="181"/>
      <c r="I21" s="181"/>
      <c r="J21" s="50">
        <f t="shared" si="2"/>
        <v>0</v>
      </c>
      <c r="K21" s="50">
        <f t="shared" si="5"/>
        <v>0</v>
      </c>
      <c r="L21" s="142"/>
      <c r="M21" s="142"/>
    </row>
    <row r="22" spans="1:13" hidden="1" x14ac:dyDescent="0.25">
      <c r="A22" s="74" t="s">
        <v>89</v>
      </c>
      <c r="B22" s="181"/>
      <c r="C22" s="181"/>
      <c r="D22" s="181"/>
      <c r="E22" s="181"/>
      <c r="F22" s="181"/>
      <c r="G22" s="181"/>
      <c r="H22" s="181"/>
      <c r="I22" s="181"/>
      <c r="J22" s="50">
        <f t="shared" si="2"/>
        <v>0</v>
      </c>
      <c r="K22" s="50">
        <f t="shared" si="5"/>
        <v>0</v>
      </c>
      <c r="L22" s="142"/>
      <c r="M22" s="142"/>
    </row>
    <row r="23" spans="1:13" hidden="1" x14ac:dyDescent="0.25">
      <c r="A23" s="74" t="s">
        <v>90</v>
      </c>
      <c r="B23" s="181"/>
      <c r="C23" s="181"/>
      <c r="D23" s="181"/>
      <c r="E23" s="181"/>
      <c r="F23" s="181"/>
      <c r="G23" s="181"/>
      <c r="H23" s="181"/>
      <c r="I23" s="181"/>
      <c r="J23" s="50">
        <f t="shared" si="2"/>
        <v>0</v>
      </c>
      <c r="K23" s="50">
        <f t="shared" si="5"/>
        <v>0</v>
      </c>
      <c r="L23" s="142"/>
      <c r="M23" s="142"/>
    </row>
    <row r="24" spans="1:13" hidden="1" x14ac:dyDescent="0.25">
      <c r="A24" s="49" t="s">
        <v>93</v>
      </c>
      <c r="B24" s="8">
        <f t="shared" ref="B24:K24" si="8">SUM(B21:B23)</f>
        <v>0</v>
      </c>
      <c r="C24" s="8">
        <f t="shared" si="8"/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142"/>
      <c r="M24" s="142"/>
    </row>
    <row r="25" spans="1:13" hidden="1" x14ac:dyDescent="0.25">
      <c r="A25" s="52" t="s">
        <v>9</v>
      </c>
      <c r="B25" s="53">
        <f>+B12+B16+B20+B24</f>
        <v>7226</v>
      </c>
      <c r="C25" s="51">
        <f t="shared" ref="C25:K25" si="9">+C12+C16+C20+C24</f>
        <v>94254089.710000008</v>
      </c>
      <c r="D25" s="51">
        <f t="shared" si="9"/>
        <v>90146</v>
      </c>
      <c r="E25" s="51">
        <f t="shared" si="9"/>
        <v>183486170.49000001</v>
      </c>
      <c r="F25" s="51">
        <f t="shared" si="9"/>
        <v>1226</v>
      </c>
      <c r="G25" s="51">
        <f t="shared" si="9"/>
        <v>14680650.34</v>
      </c>
      <c r="H25" s="51">
        <f t="shared" si="9"/>
        <v>1716</v>
      </c>
      <c r="I25" s="51">
        <f t="shared" si="9"/>
        <v>16585506.999999998</v>
      </c>
      <c r="J25" s="51">
        <f t="shared" si="9"/>
        <v>4284</v>
      </c>
      <c r="K25" s="51">
        <f t="shared" si="9"/>
        <v>246474102.86000001</v>
      </c>
      <c r="L25" s="142"/>
      <c r="M25" s="142"/>
    </row>
    <row r="26" spans="1:13" x14ac:dyDescent="0.25">
      <c r="A26" s="151" t="s">
        <v>173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s="15" customFormat="1" ht="11.25" x14ac:dyDescent="0.2">
      <c r="A27" s="276" t="s">
        <v>263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x14ac:dyDescent="0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x14ac:dyDescent="0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x14ac:dyDescent="0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3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2" spans="1:13" x14ac:dyDescent="0.25">
      <c r="B42" s="74"/>
      <c r="C42" s="181"/>
      <c r="D42" s="181"/>
      <c r="E42" s="181"/>
      <c r="F42" s="181"/>
      <c r="G42" s="181"/>
      <c r="H42" s="181"/>
      <c r="I42" s="181"/>
      <c r="J42" s="181"/>
      <c r="K42" s="50"/>
      <c r="L42" s="84"/>
    </row>
    <row r="44" spans="1:13" x14ac:dyDescent="0.25">
      <c r="B44" s="74"/>
      <c r="C44" s="181"/>
      <c r="D44" s="181"/>
      <c r="E44" s="181"/>
      <c r="F44" s="181"/>
      <c r="G44" s="181"/>
      <c r="H44" s="181"/>
      <c r="I44" s="181"/>
      <c r="J44" s="181"/>
      <c r="K44" s="50"/>
      <c r="L44" s="84"/>
    </row>
  </sheetData>
  <mergeCells count="11">
    <mergeCell ref="B7:C7"/>
    <mergeCell ref="D7:E7"/>
    <mergeCell ref="F7:G7"/>
    <mergeCell ref="H7:I7"/>
    <mergeCell ref="J7:K7"/>
    <mergeCell ref="A6:K6"/>
    <mergeCell ref="A1:K1"/>
    <mergeCell ref="A2:K2"/>
    <mergeCell ref="A3:K3"/>
    <mergeCell ref="A5:K5"/>
    <mergeCell ref="A4:K4"/>
  </mergeCells>
  <pageMargins left="0.7" right="0.7" top="0.75" bottom="0.75" header="0.3" footer="0.3"/>
  <pageSetup paperSize="9" scale="51" orientation="portrait" r:id="rId1"/>
  <ignoredErrors>
    <ignoredError sqref="J1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42578125" customWidth="1"/>
    <col min="3" max="3" width="18.140625" customWidth="1"/>
    <col min="6" max="6" width="13.7109375" bestFit="1" customWidth="1"/>
  </cols>
  <sheetData>
    <row r="5" spans="1:8" x14ac:dyDescent="0.25">
      <c r="A5" t="s">
        <v>182</v>
      </c>
    </row>
    <row r="6" spans="1:8" x14ac:dyDescent="0.25">
      <c r="A6" t="s">
        <v>183</v>
      </c>
      <c r="B6" t="s">
        <v>184</v>
      </c>
      <c r="C6" s="78">
        <v>31310</v>
      </c>
      <c r="D6" s="110">
        <v>0.2</v>
      </c>
      <c r="E6" s="78">
        <v>391848281</v>
      </c>
      <c r="F6" s="110">
        <v>0.19</v>
      </c>
    </row>
    <row r="7" spans="1:8" x14ac:dyDescent="0.25">
      <c r="A7" t="s">
        <v>41</v>
      </c>
      <c r="B7" s="78">
        <v>58606</v>
      </c>
      <c r="C7" s="110">
        <v>0.37</v>
      </c>
      <c r="D7" s="78">
        <v>502596251</v>
      </c>
      <c r="E7" s="110">
        <v>0.25</v>
      </c>
    </row>
    <row r="8" spans="1:8" x14ac:dyDescent="0.25">
      <c r="A8" t="s">
        <v>185</v>
      </c>
      <c r="B8" t="s">
        <v>186</v>
      </c>
      <c r="C8" t="s">
        <v>187</v>
      </c>
      <c r="D8">
        <v>280</v>
      </c>
      <c r="E8" s="111">
        <v>2E-3</v>
      </c>
      <c r="F8" s="78">
        <v>4723136</v>
      </c>
      <c r="G8" s="111">
        <v>2E-3</v>
      </c>
    </row>
    <row r="9" spans="1:8" x14ac:dyDescent="0.25">
      <c r="A9" t="s">
        <v>188</v>
      </c>
      <c r="B9" t="s">
        <v>189</v>
      </c>
      <c r="C9" t="s">
        <v>190</v>
      </c>
      <c r="D9" t="s">
        <v>191</v>
      </c>
      <c r="E9">
        <v>164</v>
      </c>
      <c r="F9" s="111">
        <v>1E-3</v>
      </c>
      <c r="G9" s="78">
        <v>4627394</v>
      </c>
      <c r="H9" s="111">
        <v>2E-3</v>
      </c>
    </row>
    <row r="10" spans="1:8" x14ac:dyDescent="0.25">
      <c r="A10" t="s">
        <v>192</v>
      </c>
      <c r="B10" t="s">
        <v>193</v>
      </c>
      <c r="C10">
        <v>311</v>
      </c>
      <c r="D10" s="111">
        <v>2E-3</v>
      </c>
      <c r="E10" s="78">
        <v>8307901</v>
      </c>
      <c r="F10" s="111">
        <v>4.0000000000000001E-3</v>
      </c>
    </row>
    <row r="11" spans="1:8" x14ac:dyDescent="0.25">
      <c r="A11" t="s">
        <v>192</v>
      </c>
      <c r="B11" t="s">
        <v>194</v>
      </c>
      <c r="C11" s="78">
        <v>19019</v>
      </c>
      <c r="D11" s="110">
        <v>0.12</v>
      </c>
      <c r="E11" s="78">
        <v>425653300</v>
      </c>
      <c r="F11" s="110">
        <v>0.21</v>
      </c>
    </row>
    <row r="12" spans="1:8" x14ac:dyDescent="0.25">
      <c r="A12" t="s">
        <v>195</v>
      </c>
      <c r="B12" t="s">
        <v>196</v>
      </c>
      <c r="C12" s="78">
        <v>21131</v>
      </c>
      <c r="D12" s="110">
        <v>0.13</v>
      </c>
      <c r="E12" s="78">
        <v>448771667</v>
      </c>
      <c r="F12" s="110">
        <v>0.22</v>
      </c>
    </row>
    <row r="13" spans="1:8" x14ac:dyDescent="0.25">
      <c r="A13" t="s">
        <v>183</v>
      </c>
      <c r="B13" t="s">
        <v>197</v>
      </c>
      <c r="C13" s="78">
        <v>10163</v>
      </c>
      <c r="D13" s="110">
        <v>0.06</v>
      </c>
      <c r="E13" s="78">
        <v>60978000</v>
      </c>
      <c r="F13" s="110">
        <v>0.03</v>
      </c>
    </row>
    <row r="14" spans="1:8" x14ac:dyDescent="0.25">
      <c r="A14" t="s">
        <v>198</v>
      </c>
      <c r="B14" t="s">
        <v>199</v>
      </c>
      <c r="C14" t="s">
        <v>200</v>
      </c>
      <c r="D14" s="78">
        <v>16719</v>
      </c>
      <c r="E14" s="110">
        <v>0.11</v>
      </c>
      <c r="F14" s="78">
        <v>171659274</v>
      </c>
      <c r="G14" s="110">
        <v>0.09</v>
      </c>
    </row>
    <row r="17" spans="1:7" x14ac:dyDescent="0.25">
      <c r="A17" t="s">
        <v>56</v>
      </c>
      <c r="B17" t="s">
        <v>201</v>
      </c>
      <c r="C17" t="s">
        <v>39</v>
      </c>
      <c r="D17" t="s">
        <v>147</v>
      </c>
      <c r="E17" t="s">
        <v>39</v>
      </c>
    </row>
    <row r="18" spans="1:7" x14ac:dyDescent="0.25">
      <c r="A18" t="s">
        <v>202</v>
      </c>
      <c r="B18" t="s">
        <v>203</v>
      </c>
      <c r="C18" t="s">
        <v>204</v>
      </c>
      <c r="D18">
        <v>42</v>
      </c>
      <c r="E18" s="111">
        <v>2.9999999999999997E-4</v>
      </c>
      <c r="F18" s="112">
        <v>167356.85</v>
      </c>
      <c r="G18" s="110">
        <v>0</v>
      </c>
    </row>
    <row r="19" spans="1:7" x14ac:dyDescent="0.25">
      <c r="A19" t="s">
        <v>205</v>
      </c>
      <c r="B19" t="s">
        <v>206</v>
      </c>
      <c r="C19" t="s">
        <v>207</v>
      </c>
      <c r="D19">
        <v>1</v>
      </c>
      <c r="E19" s="111">
        <v>0</v>
      </c>
      <c r="F19" s="112">
        <v>5117.5</v>
      </c>
      <c r="G19" s="110">
        <v>0</v>
      </c>
    </row>
    <row r="20" spans="1:7" x14ac:dyDescent="0.25">
      <c r="A20" s="112">
        <v>5117.5</v>
      </c>
      <c r="B20" t="s">
        <v>208</v>
      </c>
      <c r="C20" s="112">
        <v>10000</v>
      </c>
      <c r="D20" s="78">
        <v>93522</v>
      </c>
      <c r="E20" s="111">
        <v>0.73980000000000001</v>
      </c>
      <c r="F20" s="112">
        <v>750253033.45000005</v>
      </c>
      <c r="G20" s="110">
        <v>0.5</v>
      </c>
    </row>
    <row r="21" spans="1:7" x14ac:dyDescent="0.25">
      <c r="A21" s="112">
        <v>10000</v>
      </c>
      <c r="B21" t="s">
        <v>208</v>
      </c>
      <c r="C21" s="112">
        <v>20000</v>
      </c>
      <c r="D21" s="78">
        <v>18138</v>
      </c>
      <c r="E21" s="111">
        <v>0.14349999999999999</v>
      </c>
      <c r="F21" s="112">
        <v>227429836.90000001</v>
      </c>
      <c r="G21" s="110">
        <v>0.15</v>
      </c>
    </row>
    <row r="22" spans="1:7" x14ac:dyDescent="0.25">
      <c r="A22" s="112">
        <v>20000</v>
      </c>
      <c r="B22" t="s">
        <v>208</v>
      </c>
      <c r="C22" s="112">
        <v>30000</v>
      </c>
      <c r="D22" s="78">
        <v>6578</v>
      </c>
      <c r="E22" s="111">
        <v>5.1999999999999998E-2</v>
      </c>
      <c r="F22" s="112">
        <v>161421192.27000001</v>
      </c>
      <c r="G22" s="110">
        <v>0.11</v>
      </c>
    </row>
    <row r="23" spans="1:7" x14ac:dyDescent="0.25">
      <c r="A23" s="112">
        <v>30000</v>
      </c>
      <c r="B23" t="s">
        <v>208</v>
      </c>
      <c r="C23" s="112">
        <v>40000</v>
      </c>
      <c r="D23" s="78">
        <v>3651</v>
      </c>
      <c r="E23" s="111">
        <v>2.8899999999999999E-2</v>
      </c>
      <c r="F23" s="112">
        <v>122505219.92</v>
      </c>
      <c r="G23" s="110">
        <v>0.08</v>
      </c>
    </row>
    <row r="24" spans="1:7" x14ac:dyDescent="0.25">
      <c r="A24" s="112">
        <v>40000</v>
      </c>
      <c r="B24" t="s">
        <v>208</v>
      </c>
      <c r="C24" s="112">
        <v>50000</v>
      </c>
      <c r="D24" s="78">
        <v>2228</v>
      </c>
      <c r="E24" s="111">
        <v>1.7600000000000001E-2</v>
      </c>
      <c r="F24" s="112">
        <v>96897867.079999998</v>
      </c>
      <c r="G24" s="110">
        <v>0.06</v>
      </c>
    </row>
    <row r="25" spans="1:7" x14ac:dyDescent="0.25">
      <c r="A25" s="112">
        <v>50000</v>
      </c>
      <c r="B25" t="s">
        <v>208</v>
      </c>
      <c r="C25" s="112">
        <v>60000</v>
      </c>
      <c r="D25" s="78">
        <v>1212</v>
      </c>
      <c r="E25" s="111">
        <v>9.5999999999999992E-3</v>
      </c>
      <c r="F25" s="112">
        <v>63870772.049999997</v>
      </c>
      <c r="G25" s="110">
        <v>0.04</v>
      </c>
    </row>
    <row r="26" spans="1:7" x14ac:dyDescent="0.25">
      <c r="A26" s="112">
        <v>60000</v>
      </c>
      <c r="B26" t="s">
        <v>208</v>
      </c>
      <c r="C26" s="112">
        <v>70000</v>
      </c>
      <c r="D26">
        <v>256</v>
      </c>
      <c r="E26" s="111">
        <v>2E-3</v>
      </c>
      <c r="F26" s="112">
        <v>15987935.460000001</v>
      </c>
      <c r="G26" s="110">
        <v>0.01</v>
      </c>
    </row>
    <row r="27" spans="1:7" x14ac:dyDescent="0.25">
      <c r="A27" s="112">
        <v>70000</v>
      </c>
      <c r="B27" t="s">
        <v>208</v>
      </c>
      <c r="C27" s="112">
        <v>80000</v>
      </c>
      <c r="D27">
        <v>185</v>
      </c>
      <c r="E27" s="111">
        <v>1.5E-3</v>
      </c>
      <c r="F27" s="112">
        <v>13603340.310000001</v>
      </c>
      <c r="G27" s="110">
        <v>0.01</v>
      </c>
    </row>
    <row r="28" spans="1:7" x14ac:dyDescent="0.25">
      <c r="A28" s="112">
        <v>80000</v>
      </c>
      <c r="B28" t="s">
        <v>208</v>
      </c>
      <c r="C28" s="112">
        <v>90000</v>
      </c>
      <c r="D28">
        <v>246</v>
      </c>
      <c r="E28" s="111">
        <v>1.9E-3</v>
      </c>
      <c r="F28" s="112">
        <v>20637258.829999998</v>
      </c>
      <c r="G28" s="110">
        <v>0.01</v>
      </c>
    </row>
    <row r="29" spans="1:7" x14ac:dyDescent="0.25">
      <c r="A29" s="112">
        <v>90000</v>
      </c>
      <c r="B29" t="s">
        <v>208</v>
      </c>
      <c r="C29" s="112">
        <v>100000</v>
      </c>
      <c r="D29">
        <v>300</v>
      </c>
      <c r="E29" s="111">
        <v>2.3999999999999998E-3</v>
      </c>
      <c r="F29" s="112">
        <v>28790914.350000001</v>
      </c>
      <c r="G29" s="110">
        <v>0.02</v>
      </c>
    </row>
    <row r="30" spans="1:7" x14ac:dyDescent="0.25">
      <c r="A30" t="s">
        <v>60</v>
      </c>
      <c r="B30">
        <v>50</v>
      </c>
      <c r="C30" s="111">
        <v>4.0000000000000002E-4</v>
      </c>
      <c r="D30" s="112">
        <v>7845693.5999999996</v>
      </c>
      <c r="E30" s="110">
        <v>0.01</v>
      </c>
    </row>
    <row r="32" spans="1:7" x14ac:dyDescent="0.25">
      <c r="A32" t="s">
        <v>56</v>
      </c>
      <c r="B32" t="s">
        <v>201</v>
      </c>
      <c r="C32" t="s">
        <v>39</v>
      </c>
      <c r="D32" t="s">
        <v>147</v>
      </c>
      <c r="E32" t="s">
        <v>39</v>
      </c>
    </row>
    <row r="33" spans="1:7" x14ac:dyDescent="0.25">
      <c r="A33" t="s">
        <v>108</v>
      </c>
      <c r="B33">
        <v>8</v>
      </c>
      <c r="C33" s="111">
        <v>1E-4</v>
      </c>
      <c r="D33" s="78">
        <v>120807</v>
      </c>
      <c r="E33" s="111">
        <v>1E-4</v>
      </c>
    </row>
    <row r="34" spans="1:7" x14ac:dyDescent="0.25">
      <c r="A34" t="s">
        <v>109</v>
      </c>
      <c r="B34">
        <v>105</v>
      </c>
      <c r="C34" s="111">
        <v>8.9999999999999998E-4</v>
      </c>
      <c r="D34" s="78">
        <v>1623898</v>
      </c>
      <c r="E34" s="111">
        <v>1.1000000000000001E-3</v>
      </c>
    </row>
    <row r="35" spans="1:7" x14ac:dyDescent="0.25">
      <c r="A35" t="s">
        <v>110</v>
      </c>
      <c r="B35">
        <v>662</v>
      </c>
      <c r="C35" s="111">
        <v>5.7999999999999996E-3</v>
      </c>
      <c r="D35" s="78">
        <v>8844351</v>
      </c>
      <c r="E35" s="111">
        <v>5.8999999999999999E-3</v>
      </c>
    </row>
    <row r="36" spans="1:7" x14ac:dyDescent="0.25">
      <c r="A36" t="s">
        <v>111</v>
      </c>
      <c r="B36" s="78">
        <v>3613</v>
      </c>
      <c r="C36" s="111">
        <v>3.1699999999999999E-2</v>
      </c>
      <c r="D36" s="78">
        <v>58835635</v>
      </c>
      <c r="E36" s="111">
        <v>3.9E-2</v>
      </c>
    </row>
    <row r="37" spans="1:7" x14ac:dyDescent="0.25">
      <c r="A37" t="s">
        <v>112</v>
      </c>
      <c r="B37" s="78">
        <v>37680</v>
      </c>
      <c r="C37" s="111">
        <v>0.3306</v>
      </c>
      <c r="D37" s="78">
        <v>525796423</v>
      </c>
      <c r="E37" s="111">
        <v>0.3483</v>
      </c>
    </row>
    <row r="38" spans="1:7" x14ac:dyDescent="0.25">
      <c r="A38" t="s">
        <v>113</v>
      </c>
      <c r="B38" s="78">
        <v>44491</v>
      </c>
      <c r="C38" s="111">
        <v>0.39040000000000002</v>
      </c>
      <c r="D38" s="78">
        <v>593494378</v>
      </c>
      <c r="E38" s="111">
        <v>0.39319999999999999</v>
      </c>
    </row>
    <row r="39" spans="1:7" x14ac:dyDescent="0.25">
      <c r="A39" t="s">
        <v>114</v>
      </c>
      <c r="B39" s="78">
        <v>22199</v>
      </c>
      <c r="C39" s="111">
        <v>0.1948</v>
      </c>
      <c r="D39" s="78">
        <v>263071212</v>
      </c>
      <c r="E39" s="111">
        <v>0.17430000000000001</v>
      </c>
    </row>
    <row r="40" spans="1:7" x14ac:dyDescent="0.25">
      <c r="A40" t="s">
        <v>115</v>
      </c>
      <c r="B40" s="78">
        <v>4787</v>
      </c>
      <c r="C40" s="111">
        <v>4.2000000000000003E-2</v>
      </c>
      <c r="D40" s="78">
        <v>53293459</v>
      </c>
      <c r="E40" s="111">
        <v>3.5299999999999998E-2</v>
      </c>
    </row>
    <row r="41" spans="1:7" x14ac:dyDescent="0.25">
      <c r="A41">
        <v>100</v>
      </c>
      <c r="B41">
        <v>273</v>
      </c>
      <c r="C41" s="111">
        <v>2.3999999999999998E-3</v>
      </c>
      <c r="D41" s="78">
        <v>3036509</v>
      </c>
      <c r="E41" s="111">
        <v>2E-3</v>
      </c>
    </row>
    <row r="42" spans="1:7" x14ac:dyDescent="0.25">
      <c r="A42">
        <v>0</v>
      </c>
      <c r="B42">
        <v>148</v>
      </c>
      <c r="C42" s="111">
        <v>1.2999999999999999E-3</v>
      </c>
      <c r="D42" s="78">
        <v>1202867</v>
      </c>
      <c r="E42" s="111">
        <v>8.0000000000000004E-4</v>
      </c>
    </row>
    <row r="43" spans="1:7" x14ac:dyDescent="0.25">
      <c r="A43" t="s">
        <v>209</v>
      </c>
      <c r="B43" t="s">
        <v>210</v>
      </c>
      <c r="C43" s="118">
        <v>1</v>
      </c>
      <c r="D43">
        <v>11</v>
      </c>
      <c r="E43" s="111">
        <v>1E-4</v>
      </c>
      <c r="F43" s="78">
        <v>96000</v>
      </c>
      <c r="G43" s="111">
        <v>1E-4</v>
      </c>
    </row>
    <row r="60" spans="1:4" ht="1.5" customHeight="1" thickBot="1" x14ac:dyDescent="0.3"/>
    <row r="61" spans="1:4" ht="31.5" customHeight="1" x14ac:dyDescent="0.25">
      <c r="A61" s="328" t="s">
        <v>214</v>
      </c>
      <c r="B61" s="329"/>
      <c r="C61" s="329"/>
      <c r="D61" s="330"/>
    </row>
    <row r="62" spans="1:4" x14ac:dyDescent="0.25">
      <c r="A62" s="124" t="s">
        <v>57</v>
      </c>
      <c r="B62" s="125" t="s">
        <v>39</v>
      </c>
      <c r="C62" s="126" t="s">
        <v>18</v>
      </c>
      <c r="D62" s="127" t="s">
        <v>39</v>
      </c>
    </row>
    <row r="63" spans="1:4" x14ac:dyDescent="0.25">
      <c r="A63" s="100">
        <v>31137</v>
      </c>
      <c r="B63" s="81">
        <f>A63/$F$18</f>
        <v>0.18605154195959114</v>
      </c>
      <c r="C63" s="55">
        <v>395798200.03000003</v>
      </c>
      <c r="D63" s="101">
        <f>C63/C72</f>
        <v>0.19391687100775967</v>
      </c>
    </row>
    <row r="64" spans="1:4" x14ac:dyDescent="0.25">
      <c r="A64" s="100">
        <v>59538</v>
      </c>
      <c r="B64" s="81">
        <f t="shared" ref="B64:B71" si="0">A64/$F$18</f>
        <v>0.35575478386453857</v>
      </c>
      <c r="C64" s="55">
        <v>514655292.12</v>
      </c>
      <c r="D64" s="101">
        <f>C64/C72</f>
        <v>0.25214956482351464</v>
      </c>
    </row>
    <row r="65" spans="1:4" x14ac:dyDescent="0.25">
      <c r="A65" s="100">
        <v>272</v>
      </c>
      <c r="B65" s="83">
        <f t="shared" si="0"/>
        <v>1.6252695960756909E-3</v>
      </c>
      <c r="C65" s="55">
        <v>4588034.25</v>
      </c>
      <c r="D65" s="102">
        <f>C65/C72</f>
        <v>2.2478557147783836E-3</v>
      </c>
    </row>
    <row r="66" spans="1:4" x14ac:dyDescent="0.25">
      <c r="A66" s="100">
        <v>165</v>
      </c>
      <c r="B66" s="83">
        <f t="shared" si="0"/>
        <v>9.8591721820768022E-4</v>
      </c>
      <c r="C66" s="55">
        <v>4769926.3500000006</v>
      </c>
      <c r="D66" s="102">
        <f>C66/C72</f>
        <v>2.3369717008802837E-3</v>
      </c>
    </row>
    <row r="67" spans="1:4" x14ac:dyDescent="0.25">
      <c r="A67" s="100">
        <v>291</v>
      </c>
      <c r="B67" s="83">
        <f t="shared" si="0"/>
        <v>1.7387994575662723E-3</v>
      </c>
      <c r="C67" s="55">
        <v>7859081.6799999997</v>
      </c>
      <c r="D67" s="102">
        <f>C67/C72</f>
        <v>3.8504685677309622E-3</v>
      </c>
    </row>
    <row r="68" spans="1:4" x14ac:dyDescent="0.25">
      <c r="A68" s="100">
        <v>18719</v>
      </c>
      <c r="B68" s="81">
        <f t="shared" si="0"/>
        <v>0.11185081459169433</v>
      </c>
      <c r="C68" s="55">
        <v>422264407.25999999</v>
      </c>
      <c r="D68" s="101">
        <f>C68/C72</f>
        <v>0.20688369120324193</v>
      </c>
    </row>
    <row r="69" spans="1:4" x14ac:dyDescent="0.25">
      <c r="A69" s="100">
        <v>21144</v>
      </c>
      <c r="B69" s="81">
        <f t="shared" si="0"/>
        <v>0.12634081007141326</v>
      </c>
      <c r="C69" s="55">
        <v>451598843.05000001</v>
      </c>
      <c r="D69" s="101">
        <f>C69/C72</f>
        <v>0.22125576768247726</v>
      </c>
    </row>
    <row r="70" spans="1:4" x14ac:dyDescent="0.25">
      <c r="A70" s="100">
        <v>9753</v>
      </c>
      <c r="B70" s="81">
        <f t="shared" si="0"/>
        <v>5.8276670479875788E-2</v>
      </c>
      <c r="C70" s="55">
        <v>58518000</v>
      </c>
      <c r="D70" s="101">
        <f>C70/C72</f>
        <v>2.8670235126819606E-2</v>
      </c>
    </row>
    <row r="71" spans="1:4" x14ac:dyDescent="0.25">
      <c r="A71" s="100">
        <v>17481</v>
      </c>
      <c r="B71" s="81">
        <f t="shared" si="0"/>
        <v>0.10445344782720277</v>
      </c>
      <c r="C71" s="55">
        <v>181019721.69</v>
      </c>
      <c r="D71" s="101">
        <f>C71/C72</f>
        <v>8.8688574172797213E-2</v>
      </c>
    </row>
    <row r="72" spans="1:4" ht="15.75" thickBot="1" x14ac:dyDescent="0.3">
      <c r="A72" s="103">
        <f t="shared" ref="A72:D72" si="1">SUM(A63:A71)</f>
        <v>158500</v>
      </c>
      <c r="B72" s="104">
        <f t="shared" si="1"/>
        <v>0.9470780550661656</v>
      </c>
      <c r="C72" s="105">
        <f t="shared" si="1"/>
        <v>2041071506.4300001</v>
      </c>
      <c r="D72" s="106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68"/>
  <sheetViews>
    <sheetView showGridLines="0" tabSelected="1" topLeftCell="A43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27.7109375" style="1" customWidth="1"/>
    <col min="2" max="2" width="13.42578125" style="1" customWidth="1"/>
    <col min="3" max="3" width="15.7109375" style="1" customWidth="1"/>
    <col min="4" max="4" width="17.7109375" style="1" bestFit="1" customWidth="1"/>
    <col min="5" max="5" width="11.42578125" style="1"/>
    <col min="6" max="6" width="13.42578125" style="1" customWidth="1"/>
    <col min="7" max="7" width="15.7109375" style="1" customWidth="1"/>
    <col min="8" max="8" width="18.42578125" style="1" bestFit="1" customWidth="1"/>
    <col min="9" max="9" width="11.42578125" style="1"/>
    <col min="10" max="11" width="11.42578125" style="1" bestFit="1" customWidth="1"/>
    <col min="12" max="12" width="17.140625" style="1" bestFit="1" customWidth="1"/>
    <col min="13" max="13" width="13" style="1" customWidth="1"/>
    <col min="14" max="14" width="16" style="1" customWidth="1"/>
    <col min="15" max="15" width="12.140625" style="1" customWidth="1"/>
    <col min="16" max="16" width="15.140625" style="1" customWidth="1"/>
    <col min="17" max="17" width="11.42578125" style="1" customWidth="1"/>
    <col min="18" max="19" width="15.7109375" style="1" customWidth="1"/>
    <col min="20" max="20" width="18.42578125" style="1" bestFit="1" customWidth="1"/>
    <col min="21" max="21" width="19.7109375" style="1" customWidth="1"/>
    <col min="22" max="22" width="11.42578125" style="1"/>
    <col min="23" max="23" width="13.7109375" style="1" bestFit="1" customWidth="1"/>
    <col min="24" max="16384" width="11.42578125" style="1"/>
  </cols>
  <sheetData>
    <row r="1" spans="1:27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2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27" x14ac:dyDescent="0.2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7" x14ac:dyDescent="0.2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</row>
    <row r="6" spans="1:27" ht="15.75" customHeight="1" thickBot="1" x14ac:dyDescent="0.3">
      <c r="A6" s="338" t="s">
        <v>37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140"/>
      <c r="O6" s="140"/>
      <c r="P6" s="140"/>
      <c r="Q6" s="142"/>
      <c r="R6" s="142"/>
      <c r="S6" s="142"/>
    </row>
    <row r="7" spans="1:27" ht="31.5" customHeight="1" x14ac:dyDescent="0.25">
      <c r="A7" s="182"/>
      <c r="B7" s="334" t="s">
        <v>260</v>
      </c>
      <c r="C7" s="331"/>
      <c r="D7" s="331"/>
      <c r="E7" s="335"/>
      <c r="F7" s="334" t="s">
        <v>246</v>
      </c>
      <c r="G7" s="331"/>
      <c r="H7" s="331"/>
      <c r="I7" s="335"/>
      <c r="J7" s="334" t="s">
        <v>143</v>
      </c>
      <c r="K7" s="331"/>
      <c r="L7" s="331"/>
      <c r="M7" s="335"/>
      <c r="N7" s="183"/>
      <c r="O7" s="183"/>
      <c r="P7" s="183"/>
      <c r="Q7" s="184"/>
      <c r="R7" s="184"/>
      <c r="S7" s="184"/>
    </row>
    <row r="8" spans="1:27" ht="45" x14ac:dyDescent="0.25">
      <c r="A8" s="115" t="s">
        <v>38</v>
      </c>
      <c r="B8" s="185" t="s">
        <v>57</v>
      </c>
      <c r="C8" s="125" t="s">
        <v>39</v>
      </c>
      <c r="D8" s="125" t="s">
        <v>18</v>
      </c>
      <c r="E8" s="127" t="s">
        <v>39</v>
      </c>
      <c r="F8" s="185" t="s">
        <v>57</v>
      </c>
      <c r="G8" s="125" t="s">
        <v>39</v>
      </c>
      <c r="H8" s="125" t="s">
        <v>18</v>
      </c>
      <c r="I8" s="127" t="s">
        <v>39</v>
      </c>
      <c r="J8" s="186" t="s">
        <v>211</v>
      </c>
      <c r="K8" s="128" t="s">
        <v>213</v>
      </c>
      <c r="L8" s="128" t="s">
        <v>212</v>
      </c>
      <c r="M8" s="129" t="s">
        <v>213</v>
      </c>
      <c r="N8" s="142"/>
      <c r="O8" s="142"/>
      <c r="P8" s="142"/>
      <c r="Q8" s="142"/>
      <c r="R8" s="142"/>
      <c r="S8" s="142"/>
    </row>
    <row r="9" spans="1:27" x14ac:dyDescent="0.25">
      <c r="A9" s="107" t="s">
        <v>40</v>
      </c>
      <c r="B9" s="100">
        <v>31019</v>
      </c>
      <c r="C9" s="81">
        <f>B9/$B$18</f>
        <v>0.19589998800058103</v>
      </c>
      <c r="D9" s="271">
        <v>1173442137.0700002</v>
      </c>
      <c r="E9" s="81">
        <f>D9/D18</f>
        <v>0.19331419648375314</v>
      </c>
      <c r="F9" s="187">
        <v>31103</v>
      </c>
      <c r="G9" s="81">
        <f>F9/$F$18</f>
        <v>0.18142101364317753</v>
      </c>
      <c r="H9" s="188">
        <v>1368632905.6900001</v>
      </c>
      <c r="I9" s="101">
        <f>H9/H18</f>
        <v>0.18588574541587843</v>
      </c>
      <c r="J9" s="187">
        <f>+F9-B9</f>
        <v>84</v>
      </c>
      <c r="K9" s="90">
        <f>+(F9-B9)/B9</f>
        <v>2.708017666591444E-3</v>
      </c>
      <c r="L9" s="188">
        <f>+H9-D9</f>
        <v>195190768.61999989</v>
      </c>
      <c r="M9" s="116">
        <f>+(H9-D9)/D9</f>
        <v>0.16634034389405605</v>
      </c>
      <c r="N9" s="142"/>
      <c r="O9" s="142"/>
      <c r="P9" s="142"/>
      <c r="Q9" s="142"/>
      <c r="R9" s="142"/>
      <c r="S9" s="142"/>
    </row>
    <row r="10" spans="1:27" x14ac:dyDescent="0.25">
      <c r="A10" s="108" t="s">
        <v>41</v>
      </c>
      <c r="B10" s="100">
        <v>59255</v>
      </c>
      <c r="C10" s="81">
        <f t="shared" ref="C10:C17" si="0">B10/$B$18</f>
        <v>0.37422398494388692</v>
      </c>
      <c r="D10" s="271">
        <v>1519841427.98</v>
      </c>
      <c r="E10" s="81">
        <f>D10/D18</f>
        <v>0.25038041088782464</v>
      </c>
      <c r="F10" s="187">
        <v>61220</v>
      </c>
      <c r="G10" s="81">
        <f t="shared" ref="G10:G17" si="1">F10/$F$18</f>
        <v>0.35709077758529173</v>
      </c>
      <c r="H10" s="188">
        <v>1883566164.0599999</v>
      </c>
      <c r="I10" s="101">
        <f>H10/H18</f>
        <v>0.25582323718126726</v>
      </c>
      <c r="J10" s="187">
        <f t="shared" ref="J10:J18" si="2">+F10-B10</f>
        <v>1965</v>
      </c>
      <c r="K10" s="90">
        <f t="shared" ref="K10:K18" si="3">+(F10-B10)/B10</f>
        <v>3.3161758501392288E-2</v>
      </c>
      <c r="L10" s="188">
        <f t="shared" ref="L10:L18" si="4">+H10-D10</f>
        <v>363724736.07999992</v>
      </c>
      <c r="M10" s="116">
        <f t="shared" ref="M10:M18" si="5">+(H10-D10)/D10</f>
        <v>0.23931755601860477</v>
      </c>
      <c r="N10" s="142"/>
      <c r="O10" s="142"/>
      <c r="P10" s="142"/>
      <c r="Q10" s="142"/>
      <c r="R10" s="142"/>
      <c r="S10" s="142"/>
    </row>
    <row r="11" spans="1:27" x14ac:dyDescent="0.25">
      <c r="A11" s="108" t="s">
        <v>42</v>
      </c>
      <c r="B11" s="100">
        <v>276</v>
      </c>
      <c r="C11" s="83">
        <f t="shared" si="0"/>
        <v>1.7430734932834832E-3</v>
      </c>
      <c r="D11" s="271">
        <v>14051194.5</v>
      </c>
      <c r="E11" s="83">
        <f>D11/D18</f>
        <v>2.3148098134491944E-3</v>
      </c>
      <c r="F11" s="187">
        <v>266</v>
      </c>
      <c r="G11" s="83">
        <f t="shared" si="1"/>
        <v>1.5515541789886899E-3</v>
      </c>
      <c r="H11" s="188">
        <v>13460123.25</v>
      </c>
      <c r="I11" s="102">
        <f>H11/H18</f>
        <v>1.8281345080289689E-3</v>
      </c>
      <c r="J11" s="187">
        <f t="shared" si="2"/>
        <v>-10</v>
      </c>
      <c r="K11" s="90">
        <f t="shared" si="3"/>
        <v>-3.6231884057971016E-2</v>
      </c>
      <c r="L11" s="188">
        <f t="shared" si="4"/>
        <v>-591071.25</v>
      </c>
      <c r="M11" s="116">
        <f t="shared" si="5"/>
        <v>-4.2065551793479192E-2</v>
      </c>
      <c r="N11" s="142"/>
      <c r="O11" s="142"/>
      <c r="P11" s="142"/>
      <c r="Q11" s="142"/>
      <c r="R11" s="142"/>
      <c r="S11" s="142"/>
    </row>
    <row r="12" spans="1:27" x14ac:dyDescent="0.25">
      <c r="A12" s="108" t="s">
        <v>124</v>
      </c>
      <c r="B12" s="100">
        <v>164</v>
      </c>
      <c r="C12" s="83">
        <f t="shared" si="0"/>
        <v>1.0357393220959826E-3</v>
      </c>
      <c r="D12" s="271">
        <v>13794113.449999999</v>
      </c>
      <c r="E12" s="83">
        <f>D12/D18</f>
        <v>2.2724579879590681E-3</v>
      </c>
      <c r="F12" s="187">
        <v>154</v>
      </c>
      <c r="G12" s="83">
        <f t="shared" si="1"/>
        <v>8.9826820888818889E-4</v>
      </c>
      <c r="H12" s="188">
        <v>13542287.620000001</v>
      </c>
      <c r="I12" s="102">
        <f>H12/H18</f>
        <v>1.8392939541452935E-3</v>
      </c>
      <c r="J12" s="187">
        <f t="shared" si="2"/>
        <v>-10</v>
      </c>
      <c r="K12" s="90">
        <f t="shared" si="3"/>
        <v>-6.097560975609756E-2</v>
      </c>
      <c r="L12" s="188">
        <f t="shared" si="4"/>
        <v>-251825.82999999821</v>
      </c>
      <c r="M12" s="116">
        <f t="shared" si="5"/>
        <v>-1.8256035874490956E-2</v>
      </c>
      <c r="N12" s="142"/>
      <c r="O12" s="142"/>
      <c r="P12" s="142"/>
      <c r="Q12" s="142"/>
      <c r="R12" s="142"/>
      <c r="S12" s="142"/>
    </row>
    <row r="13" spans="1:27" x14ac:dyDescent="0.25">
      <c r="A13" s="108" t="s">
        <v>43</v>
      </c>
      <c r="B13" s="100">
        <v>304</v>
      </c>
      <c r="C13" s="83">
        <f>B13/$B$18</f>
        <v>1.9199070360803583E-3</v>
      </c>
      <c r="D13" s="271">
        <v>24475306.240000002</v>
      </c>
      <c r="E13" s="83">
        <f>D13/D18</f>
        <v>4.0320898747452623E-3</v>
      </c>
      <c r="F13" s="187">
        <v>257</v>
      </c>
      <c r="G13" s="83">
        <f t="shared" si="1"/>
        <v>1.4990579849627568E-3</v>
      </c>
      <c r="H13" s="188">
        <v>22664903.100000001</v>
      </c>
      <c r="I13" s="102">
        <f>H13/H18</f>
        <v>3.0783144187214446E-3</v>
      </c>
      <c r="J13" s="187">
        <f t="shared" si="2"/>
        <v>-47</v>
      </c>
      <c r="K13" s="90">
        <f t="shared" si="3"/>
        <v>-0.15460526315789475</v>
      </c>
      <c r="L13" s="188">
        <f t="shared" si="4"/>
        <v>-1810403.1400000006</v>
      </c>
      <c r="M13" s="116">
        <f t="shared" si="5"/>
        <v>-7.3968559259179278E-2</v>
      </c>
      <c r="N13" s="142"/>
      <c r="O13" s="142"/>
      <c r="P13" s="142"/>
      <c r="Q13" s="142"/>
      <c r="R13" s="142"/>
      <c r="S13" s="142"/>
    </row>
    <row r="14" spans="1:27" x14ac:dyDescent="0.25">
      <c r="A14" s="108" t="s">
        <v>44</v>
      </c>
      <c r="B14" s="100">
        <v>18929</v>
      </c>
      <c r="C14" s="81">
        <f t="shared" si="0"/>
        <v>0.11954579041435888</v>
      </c>
      <c r="D14" s="271">
        <v>1270376143.8499999</v>
      </c>
      <c r="E14" s="81">
        <f>D14/D18</f>
        <v>0.20928321535622652</v>
      </c>
      <c r="F14" s="187">
        <v>20523</v>
      </c>
      <c r="G14" s="81">
        <f t="shared" si="1"/>
        <v>0.11970882111046949</v>
      </c>
      <c r="H14" s="188">
        <v>1623729475.97</v>
      </c>
      <c r="I14" s="101">
        <f>H14/H18</f>
        <v>0.22053259331964523</v>
      </c>
      <c r="J14" s="187">
        <f t="shared" si="2"/>
        <v>1594</v>
      </c>
      <c r="K14" s="90">
        <f t="shared" si="3"/>
        <v>8.4209414126472606E-2</v>
      </c>
      <c r="L14" s="188">
        <f>+H14-D14</f>
        <v>353353332.12000012</v>
      </c>
      <c r="M14" s="116">
        <f t="shared" si="5"/>
        <v>0.27814858916440927</v>
      </c>
      <c r="N14" s="142"/>
      <c r="O14" s="142"/>
      <c r="P14" s="142"/>
      <c r="Q14" s="142"/>
      <c r="R14" s="142"/>
      <c r="S14" s="142"/>
    </row>
    <row r="15" spans="1:27" x14ac:dyDescent="0.25">
      <c r="A15" s="108" t="s">
        <v>150</v>
      </c>
      <c r="B15" s="100">
        <v>21161</v>
      </c>
      <c r="C15" s="81">
        <f t="shared" si="0"/>
        <v>0.13364194996873835</v>
      </c>
      <c r="D15" s="271">
        <v>1349942285</v>
      </c>
      <c r="E15" s="81">
        <f>D15/D18</f>
        <v>0.22239103222918374</v>
      </c>
      <c r="F15" s="187">
        <v>21421</v>
      </c>
      <c r="G15" s="81">
        <f t="shared" si="1"/>
        <v>0.12494677469216815</v>
      </c>
      <c r="H15" s="188">
        <v>1451242238.04</v>
      </c>
      <c r="I15" s="101">
        <f>H15/H18</f>
        <v>0.19710562567620732</v>
      </c>
      <c r="J15" s="187">
        <f t="shared" si="2"/>
        <v>260</v>
      </c>
      <c r="K15" s="90">
        <f t="shared" si="3"/>
        <v>1.2286753934124097E-2</v>
      </c>
      <c r="L15" s="188">
        <f t="shared" si="4"/>
        <v>101299953.03999996</v>
      </c>
      <c r="M15" s="116">
        <f t="shared" si="5"/>
        <v>7.5040210359808054E-2</v>
      </c>
      <c r="N15" s="142"/>
      <c r="O15" s="142"/>
      <c r="P15" s="142"/>
      <c r="Q15" s="142"/>
      <c r="R15" s="142"/>
      <c r="S15" s="142"/>
    </row>
    <row r="16" spans="1:27" x14ac:dyDescent="0.25">
      <c r="A16" s="108" t="s">
        <v>151</v>
      </c>
      <c r="B16" s="100">
        <v>10167</v>
      </c>
      <c r="C16" s="81">
        <f t="shared" si="0"/>
        <v>6.4209522486279605E-2</v>
      </c>
      <c r="D16" s="271">
        <v>182934000</v>
      </c>
      <c r="E16" s="81">
        <f>D16/D18</f>
        <v>3.0136755876058435E-2</v>
      </c>
      <c r="F16" s="187">
        <v>18228</v>
      </c>
      <c r="G16" s="81">
        <f t="shared" si="1"/>
        <v>0.10632229163385655</v>
      </c>
      <c r="H16" s="188">
        <v>320286000</v>
      </c>
      <c r="I16" s="101">
        <f>H16/H18</f>
        <v>4.3500782137233872E-2</v>
      </c>
      <c r="J16" s="187">
        <f t="shared" si="2"/>
        <v>8061</v>
      </c>
      <c r="K16" s="90">
        <f t="shared" si="3"/>
        <v>0.79285925051637651</v>
      </c>
      <c r="L16" s="188">
        <f t="shared" si="4"/>
        <v>137352000</v>
      </c>
      <c r="M16" s="116">
        <f t="shared" si="5"/>
        <v>0.75082816753583259</v>
      </c>
      <c r="N16" s="142"/>
      <c r="O16" s="142"/>
      <c r="P16" s="142"/>
      <c r="Q16" s="142"/>
      <c r="R16" s="142"/>
      <c r="S16" s="142"/>
    </row>
    <row r="17" spans="1:27" x14ac:dyDescent="0.25">
      <c r="A17" s="108" t="s">
        <v>45</v>
      </c>
      <c r="B17" s="100">
        <v>17066</v>
      </c>
      <c r="C17" s="81">
        <f t="shared" si="0"/>
        <v>0.10778004433469537</v>
      </c>
      <c r="D17" s="271">
        <v>521272530.97000003</v>
      </c>
      <c r="E17" s="81">
        <f>D17/D18</f>
        <v>8.5875031490799961E-2</v>
      </c>
      <c r="F17" s="187">
        <v>18269</v>
      </c>
      <c r="G17" s="81">
        <f t="shared" si="1"/>
        <v>0.10656144096219691</v>
      </c>
      <c r="H17" s="188">
        <v>665640070.26999998</v>
      </c>
      <c r="I17" s="101">
        <f>H17/H18</f>
        <v>9.040627338887218E-2</v>
      </c>
      <c r="J17" s="187">
        <f t="shared" si="2"/>
        <v>1203</v>
      </c>
      <c r="K17" s="90">
        <f t="shared" si="3"/>
        <v>7.0491034806047112E-2</v>
      </c>
      <c r="L17" s="188">
        <f t="shared" si="4"/>
        <v>144367539.29999995</v>
      </c>
      <c r="M17" s="116">
        <f t="shared" si="5"/>
        <v>0.27695213294925858</v>
      </c>
      <c r="N17" s="142"/>
      <c r="O17" s="142"/>
      <c r="P17" s="142"/>
      <c r="Q17" s="142"/>
      <c r="R17" s="142"/>
      <c r="S17" s="142"/>
    </row>
    <row r="18" spans="1:27" ht="15.75" thickBot="1" x14ac:dyDescent="0.3">
      <c r="A18" s="109" t="s">
        <v>46</v>
      </c>
      <c r="B18" s="103">
        <f t="shared" ref="B18:I18" si="6">SUM(B9:B17)</f>
        <v>158341</v>
      </c>
      <c r="C18" s="104">
        <f t="shared" si="6"/>
        <v>1</v>
      </c>
      <c r="D18" s="105">
        <f t="shared" si="6"/>
        <v>6070129139.0600004</v>
      </c>
      <c r="E18" s="106">
        <f t="shared" si="6"/>
        <v>1</v>
      </c>
      <c r="F18" s="103">
        <f t="shared" si="6"/>
        <v>171441</v>
      </c>
      <c r="G18" s="104">
        <f t="shared" si="6"/>
        <v>0.99999999999999989</v>
      </c>
      <c r="H18" s="105">
        <f t="shared" si="6"/>
        <v>7362764168</v>
      </c>
      <c r="I18" s="106">
        <f t="shared" si="6"/>
        <v>0.99999999999999989</v>
      </c>
      <c r="J18" s="103">
        <f t="shared" si="2"/>
        <v>13100</v>
      </c>
      <c r="K18" s="104">
        <f t="shared" si="3"/>
        <v>8.2732836094252277E-2</v>
      </c>
      <c r="L18" s="105">
        <f t="shared" si="4"/>
        <v>1292635028.9399996</v>
      </c>
      <c r="M18" s="106">
        <f t="shared" si="5"/>
        <v>0.21295016948192516</v>
      </c>
      <c r="N18" s="189"/>
      <c r="O18" s="142"/>
      <c r="P18" s="142"/>
      <c r="Q18" s="142"/>
      <c r="R18" s="142"/>
      <c r="S18" s="142"/>
    </row>
    <row r="19" spans="1:27" ht="14.25" customHeight="1" x14ac:dyDescent="0.25">
      <c r="A19" s="336" t="s">
        <v>152</v>
      </c>
      <c r="B19" s="336"/>
      <c r="C19" s="336"/>
      <c r="D19" s="336"/>
      <c r="E19" s="336"/>
      <c r="F19" s="336"/>
      <c r="G19" s="336"/>
      <c r="H19" s="336"/>
      <c r="I19" s="336"/>
      <c r="J19" s="190"/>
      <c r="K19" s="190"/>
      <c r="L19" s="190"/>
      <c r="M19" s="190"/>
      <c r="N19" s="215"/>
      <c r="O19" s="215"/>
      <c r="P19" s="215"/>
      <c r="Q19" s="215"/>
      <c r="R19" s="190"/>
      <c r="S19" s="190"/>
      <c r="T19" s="190"/>
      <c r="U19" s="190"/>
      <c r="V19" s="142"/>
      <c r="W19" s="142"/>
      <c r="X19" s="142"/>
      <c r="Y19" s="142"/>
      <c r="Z19" s="142"/>
      <c r="AA19" s="142"/>
    </row>
    <row r="20" spans="1:27" x14ac:dyDescent="0.25">
      <c r="A20" s="15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42"/>
      <c r="B25" s="142"/>
      <c r="C25" s="142"/>
      <c r="D25" s="142"/>
      <c r="E25" s="142"/>
      <c r="F25" s="192"/>
      <c r="G25" s="203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42"/>
      <c r="B26" s="142"/>
      <c r="C26" s="142"/>
      <c r="D26" s="142"/>
      <c r="E26" s="134"/>
      <c r="F26" s="134"/>
      <c r="G26" s="203"/>
      <c r="H26" s="134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5.75" thickBot="1" x14ac:dyDescent="0.3">
      <c r="A29" s="270" t="s">
        <v>55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142"/>
      <c r="O29" s="142"/>
      <c r="P29" s="142"/>
      <c r="Q29" s="142"/>
      <c r="R29" s="142"/>
    </row>
    <row r="30" spans="1:27" ht="34.5" customHeight="1" x14ac:dyDescent="0.25">
      <c r="A30" s="182"/>
      <c r="B30" s="334" t="s">
        <v>260</v>
      </c>
      <c r="C30" s="331"/>
      <c r="D30" s="331"/>
      <c r="E30" s="335"/>
      <c r="F30" s="334" t="s">
        <v>246</v>
      </c>
      <c r="G30" s="331"/>
      <c r="H30" s="331"/>
      <c r="I30" s="335"/>
      <c r="J30" s="331" t="s">
        <v>143</v>
      </c>
      <c r="K30" s="332"/>
      <c r="L30" s="332"/>
      <c r="M30" s="333"/>
      <c r="N30" s="142"/>
      <c r="O30" s="142"/>
      <c r="P30" s="142"/>
      <c r="Q30" s="142"/>
      <c r="R30" s="142"/>
      <c r="S30" s="142"/>
    </row>
    <row r="31" spans="1:27" ht="45" x14ac:dyDescent="0.25">
      <c r="A31" s="113" t="s">
        <v>56</v>
      </c>
      <c r="B31" s="191" t="s">
        <v>146</v>
      </c>
      <c r="C31" s="58" t="s">
        <v>39</v>
      </c>
      <c r="D31" s="58" t="s">
        <v>147</v>
      </c>
      <c r="E31" s="99" t="s">
        <v>39</v>
      </c>
      <c r="F31" s="58" t="s">
        <v>146</v>
      </c>
      <c r="G31" s="58" t="s">
        <v>39</v>
      </c>
      <c r="H31" s="58" t="s">
        <v>147</v>
      </c>
      <c r="I31" s="99" t="s">
        <v>39</v>
      </c>
      <c r="J31" s="128" t="s">
        <v>211</v>
      </c>
      <c r="K31" s="128" t="s">
        <v>213</v>
      </c>
      <c r="L31" s="128" t="s">
        <v>212</v>
      </c>
      <c r="M31" s="129" t="s">
        <v>213</v>
      </c>
      <c r="N31" s="142"/>
      <c r="O31" s="142"/>
      <c r="P31" s="142"/>
      <c r="Q31" s="142"/>
      <c r="R31" s="142"/>
      <c r="S31" s="142"/>
    </row>
    <row r="32" spans="1:27" x14ac:dyDescent="0.25">
      <c r="A32" s="114" t="s">
        <v>58</v>
      </c>
      <c r="B32" s="231">
        <v>45</v>
      </c>
      <c r="C32" s="90">
        <f>B32/$B$45</f>
        <v>3.2803615687417991E-4</v>
      </c>
      <c r="D32" s="195">
        <v>532989.91</v>
      </c>
      <c r="E32" s="130">
        <f>D32/D45</f>
        <v>1.1291712097052769E-4</v>
      </c>
      <c r="F32" s="192">
        <v>37</v>
      </c>
      <c r="G32" s="90">
        <f>F32/$F$45</f>
        <v>2.4663378216237833E-4</v>
      </c>
      <c r="H32" s="192">
        <v>515546.37</v>
      </c>
      <c r="I32" s="116">
        <f>H32/H45</f>
        <v>8.7210430090291235E-5</v>
      </c>
      <c r="J32" s="188">
        <f>+F32-B32</f>
        <v>-8</v>
      </c>
      <c r="K32" s="90">
        <f>+(F32-B32)/B32</f>
        <v>-0.17777777777777778</v>
      </c>
      <c r="L32" s="188">
        <f>+H32-D32</f>
        <v>-17443.540000000037</v>
      </c>
      <c r="M32" s="130">
        <f>+(H32-D32)/D32</f>
        <v>-3.2727711487071182E-2</v>
      </c>
      <c r="N32" s="142"/>
      <c r="O32" s="142"/>
      <c r="P32" s="142"/>
      <c r="Q32" s="142"/>
      <c r="R32" s="142"/>
      <c r="S32" s="142"/>
    </row>
    <row r="33" spans="1:27" s="54" customFormat="1" x14ac:dyDescent="0.25">
      <c r="A33" s="114" t="s">
        <v>59</v>
      </c>
      <c r="B33" s="231">
        <v>1</v>
      </c>
      <c r="C33" s="90">
        <f t="shared" ref="C33:C44" si="7">B33/$B$45</f>
        <v>7.2896923749817759E-6</v>
      </c>
      <c r="D33" s="195">
        <v>15352.5</v>
      </c>
      <c r="E33" s="130">
        <f>D33/D45</f>
        <v>3.2525195452574822E-6</v>
      </c>
      <c r="F33" s="192">
        <v>1</v>
      </c>
      <c r="G33" s="92">
        <f>F33/$F$45</f>
        <v>6.6657778962804959E-6</v>
      </c>
      <c r="H33" s="192">
        <v>10235</v>
      </c>
      <c r="I33" s="117">
        <f>H33/H45</f>
        <v>1.731364633552033E-6</v>
      </c>
      <c r="J33" s="188">
        <f t="shared" ref="J33:J45" si="8">+F33-B33</f>
        <v>0</v>
      </c>
      <c r="K33" s="90">
        <f t="shared" ref="K33:K45" si="9">+(F33-B33)/B33</f>
        <v>0</v>
      </c>
      <c r="L33" s="188">
        <f>+H33-D33</f>
        <v>-5117.5</v>
      </c>
      <c r="M33" s="130">
        <f t="shared" ref="M33:M45" si="10">+(H33-D33)/D33</f>
        <v>-0.33333333333333331</v>
      </c>
      <c r="N33" s="184"/>
      <c r="O33" s="184"/>
      <c r="P33" s="184"/>
      <c r="Q33" s="184"/>
      <c r="R33" s="184"/>
      <c r="S33" s="184"/>
    </row>
    <row r="34" spans="1:27" x14ac:dyDescent="0.25">
      <c r="A34" s="115" t="s">
        <v>99</v>
      </c>
      <c r="B34" s="235">
        <v>102804</v>
      </c>
      <c r="C34" s="90">
        <f t="shared" si="7"/>
        <v>0.74940953491762652</v>
      </c>
      <c r="D34" s="196">
        <v>2418261896.7399998</v>
      </c>
      <c r="E34" s="130">
        <f>D34/D45</f>
        <v>0.51232334047863737</v>
      </c>
      <c r="F34" s="192">
        <v>18248</v>
      </c>
      <c r="G34" s="90">
        <f>F34/$F$45</f>
        <v>0.12163711505132649</v>
      </c>
      <c r="H34" s="192">
        <v>320667997.75</v>
      </c>
      <c r="I34" s="101">
        <f>H34/H45</f>
        <v>5.4244575516980247E-2</v>
      </c>
      <c r="J34" s="188">
        <f t="shared" si="8"/>
        <v>-84556</v>
      </c>
      <c r="K34" s="90">
        <f t="shared" si="9"/>
        <v>-0.82249717909808961</v>
      </c>
      <c r="L34" s="188">
        <f t="shared" ref="L34:L45" si="11">+H34-D34</f>
        <v>-2097593898.9899998</v>
      </c>
      <c r="M34" s="130">
        <f t="shared" si="10"/>
        <v>-0.86739732442450312</v>
      </c>
      <c r="N34" s="142"/>
      <c r="O34" s="142"/>
      <c r="P34" s="142"/>
      <c r="Q34" s="142"/>
      <c r="R34" s="142"/>
      <c r="S34" s="142"/>
    </row>
    <row r="35" spans="1:27" x14ac:dyDescent="0.25">
      <c r="A35" s="115" t="s">
        <v>98</v>
      </c>
      <c r="B35" s="231">
        <v>19649</v>
      </c>
      <c r="C35" s="90">
        <f t="shared" si="7"/>
        <v>0.14323516547601692</v>
      </c>
      <c r="D35" s="195">
        <v>708949871.52999997</v>
      </c>
      <c r="E35" s="130">
        <f>D35/D45</f>
        <v>0.15019529807908197</v>
      </c>
      <c r="F35" s="192">
        <v>114775</v>
      </c>
      <c r="G35" s="90">
        <f t="shared" ref="G35:G44" si="12">F35/$F$45</f>
        <v>0.76506465804559387</v>
      </c>
      <c r="H35" s="192">
        <v>3566111614.25</v>
      </c>
      <c r="I35" s="101">
        <f>H35/H45</f>
        <v>0.60324763343542742</v>
      </c>
      <c r="J35" s="188">
        <f t="shared" si="8"/>
        <v>95126</v>
      </c>
      <c r="K35" s="90">
        <f t="shared" si="9"/>
        <v>4.8412641864725936</v>
      </c>
      <c r="L35" s="188">
        <f t="shared" si="11"/>
        <v>2857161742.7200003</v>
      </c>
      <c r="M35" s="130">
        <f t="shared" si="10"/>
        <v>4.0301322525863474</v>
      </c>
      <c r="N35" s="142"/>
      <c r="O35" s="142"/>
      <c r="P35" s="142"/>
      <c r="Q35" s="142"/>
      <c r="R35" s="142"/>
      <c r="S35" s="142"/>
    </row>
    <row r="36" spans="1:27" ht="15" customHeight="1" x14ac:dyDescent="0.25">
      <c r="A36" s="115" t="s">
        <v>100</v>
      </c>
      <c r="B36" s="231">
        <v>6559</v>
      </c>
      <c r="C36" s="90">
        <f t="shared" si="7"/>
        <v>4.7813092287505465E-2</v>
      </c>
      <c r="D36" s="195">
        <v>483159209.02999997</v>
      </c>
      <c r="E36" s="130">
        <f>D36/D45</f>
        <v>0.10236018699503145</v>
      </c>
      <c r="F36" s="192">
        <v>6704</v>
      </c>
      <c r="G36" s="90">
        <f t="shared" si="12"/>
        <v>4.4687375016664442E-2</v>
      </c>
      <c r="H36" s="192">
        <v>483581746.31</v>
      </c>
      <c r="I36" s="101">
        <f>H36/H45</f>
        <v>8.1803256765262858E-2</v>
      </c>
      <c r="J36" s="188">
        <f t="shared" si="8"/>
        <v>145</v>
      </c>
      <c r="K36" s="90">
        <f t="shared" si="9"/>
        <v>2.2107028510443664E-2</v>
      </c>
      <c r="L36" s="188">
        <f t="shared" si="11"/>
        <v>422537.28000003099</v>
      </c>
      <c r="M36" s="130">
        <f t="shared" si="10"/>
        <v>8.7453011782249838E-4</v>
      </c>
      <c r="N36" s="142"/>
      <c r="O36" s="142"/>
      <c r="P36" s="142"/>
      <c r="Q36" s="142"/>
      <c r="R36" s="142"/>
      <c r="S36" s="142"/>
    </row>
    <row r="37" spans="1:27" x14ac:dyDescent="0.25">
      <c r="A37" s="115" t="s">
        <v>101</v>
      </c>
      <c r="B37" s="231">
        <v>3631</v>
      </c>
      <c r="C37" s="90">
        <f t="shared" si="7"/>
        <v>2.6468873013558828E-2</v>
      </c>
      <c r="D37" s="195">
        <v>365983320.5</v>
      </c>
      <c r="E37" s="130">
        <f>D37/D45</f>
        <v>7.7535769624783146E-2</v>
      </c>
      <c r="F37" s="192">
        <v>3603</v>
      </c>
      <c r="G37" s="90">
        <f t="shared" si="12"/>
        <v>2.4016797760298626E-2</v>
      </c>
      <c r="H37" s="192">
        <v>359234657.25999999</v>
      </c>
      <c r="I37" s="101">
        <f>H37/H45</f>
        <v>6.076855698350269E-2</v>
      </c>
      <c r="J37" s="188">
        <f t="shared" si="8"/>
        <v>-28</v>
      </c>
      <c r="K37" s="90">
        <f t="shared" si="9"/>
        <v>-7.7113742770586616E-3</v>
      </c>
      <c r="L37" s="188">
        <f t="shared" si="11"/>
        <v>-6748663.2400000095</v>
      </c>
      <c r="M37" s="130">
        <f t="shared" si="10"/>
        <v>-1.8439810947613964E-2</v>
      </c>
      <c r="N37" s="142"/>
      <c r="O37" s="142"/>
      <c r="P37" s="142"/>
      <c r="Q37" s="142"/>
      <c r="R37" s="142"/>
      <c r="S37" s="142"/>
    </row>
    <row r="38" spans="1:27" x14ac:dyDescent="0.25">
      <c r="A38" s="115" t="s">
        <v>102</v>
      </c>
      <c r="B38" s="231">
        <v>2221</v>
      </c>
      <c r="C38" s="90">
        <f t="shared" si="7"/>
        <v>1.6190406764834523E-2</v>
      </c>
      <c r="D38" s="195">
        <v>290375508.15000004</v>
      </c>
      <c r="E38" s="130">
        <f>D38/D45</f>
        <v>6.1517799428233086E-2</v>
      </c>
      <c r="F38" s="192">
        <v>2002</v>
      </c>
      <c r="G38" s="90">
        <f t="shared" si="12"/>
        <v>1.3344887348353552E-2</v>
      </c>
      <c r="H38" s="192">
        <v>255220751.20000002</v>
      </c>
      <c r="I38" s="101">
        <f>H38/H45</f>
        <v>4.3173442342575731E-2</v>
      </c>
      <c r="J38" s="188">
        <f t="shared" si="8"/>
        <v>-219</v>
      </c>
      <c r="K38" s="90">
        <f t="shared" si="9"/>
        <v>-9.8604232327780275E-2</v>
      </c>
      <c r="L38" s="188">
        <f t="shared" si="11"/>
        <v>-35154756.950000018</v>
      </c>
      <c r="M38" s="130">
        <f t="shared" si="10"/>
        <v>-0.12106653613444572</v>
      </c>
      <c r="N38" s="142"/>
      <c r="O38" s="142"/>
      <c r="P38" s="142"/>
      <c r="Q38" s="142"/>
      <c r="R38" s="142"/>
      <c r="S38" s="142"/>
    </row>
    <row r="39" spans="1:27" x14ac:dyDescent="0.25">
      <c r="A39" s="115" t="s">
        <v>103</v>
      </c>
      <c r="B39" s="231">
        <v>1221</v>
      </c>
      <c r="C39" s="90">
        <f t="shared" si="7"/>
        <v>8.9007143898527478E-3</v>
      </c>
      <c r="D39" s="195">
        <v>192054293.13999999</v>
      </c>
      <c r="E39" s="130">
        <f>D39/D45</f>
        <v>4.0687858146129942E-2</v>
      </c>
      <c r="F39" s="192">
        <v>2387</v>
      </c>
      <c r="G39" s="90">
        <f t="shared" si="12"/>
        <v>1.5911211838421545E-2</v>
      </c>
      <c r="H39" s="192">
        <v>358526631.28999996</v>
      </c>
      <c r="I39" s="101">
        <f>H39/H45</f>
        <v>6.0648786477973192E-2</v>
      </c>
      <c r="J39" s="188">
        <f t="shared" si="8"/>
        <v>1166</v>
      </c>
      <c r="K39" s="90">
        <f t="shared" si="9"/>
        <v>0.95495495495495497</v>
      </c>
      <c r="L39" s="188">
        <f t="shared" si="11"/>
        <v>166472338.14999998</v>
      </c>
      <c r="M39" s="130">
        <f t="shared" si="10"/>
        <v>0.86679831743541513</v>
      </c>
      <c r="N39" s="142"/>
      <c r="O39" s="142"/>
      <c r="P39" s="142"/>
      <c r="Q39" s="142"/>
      <c r="R39" s="142"/>
      <c r="S39" s="142"/>
    </row>
    <row r="40" spans="1:27" x14ac:dyDescent="0.25">
      <c r="A40" s="115" t="s">
        <v>104</v>
      </c>
      <c r="B40" s="231">
        <v>264</v>
      </c>
      <c r="C40" s="90">
        <f t="shared" si="7"/>
        <v>1.9244787869951887E-3</v>
      </c>
      <c r="D40" s="195">
        <v>49155833.020000003</v>
      </c>
      <c r="E40" s="130">
        <f>D40/D45</f>
        <v>1.0413959137662474E-2</v>
      </c>
      <c r="F40" s="192">
        <v>767</v>
      </c>
      <c r="G40" s="90">
        <f t="shared" si="12"/>
        <v>5.1126516464471408E-3</v>
      </c>
      <c r="H40" s="192">
        <v>144852887.40000001</v>
      </c>
      <c r="I40" s="101">
        <f>H40/H45</f>
        <v>2.4503484739839265E-2</v>
      </c>
      <c r="J40" s="188">
        <f t="shared" si="8"/>
        <v>503</v>
      </c>
      <c r="K40" s="90">
        <f t="shared" si="9"/>
        <v>1.9053030303030303</v>
      </c>
      <c r="L40" s="188">
        <f t="shared" si="11"/>
        <v>95697054.379999995</v>
      </c>
      <c r="M40" s="130">
        <f t="shared" si="10"/>
        <v>1.9468097375353968</v>
      </c>
      <c r="N40" s="142"/>
      <c r="O40" s="142"/>
      <c r="P40" s="142"/>
      <c r="Q40" s="142"/>
      <c r="R40" s="142"/>
      <c r="S40" s="142"/>
    </row>
    <row r="41" spans="1:27" ht="15" customHeight="1" x14ac:dyDescent="0.25">
      <c r="A41" s="115" t="s">
        <v>105</v>
      </c>
      <c r="B41" s="231">
        <v>185</v>
      </c>
      <c r="C41" s="90">
        <f t="shared" si="7"/>
        <v>1.3485930893716285E-3</v>
      </c>
      <c r="D41" s="195">
        <v>41176405.170000002</v>
      </c>
      <c r="E41" s="130">
        <f>D41/D45</f>
        <v>8.7234693124159744E-3</v>
      </c>
      <c r="F41" s="192">
        <v>399</v>
      </c>
      <c r="G41" s="90">
        <f t="shared" si="12"/>
        <v>2.6596453806159177E-3</v>
      </c>
      <c r="H41" s="192">
        <v>86041751.370000005</v>
      </c>
      <c r="I41" s="101">
        <f>H41/H45</f>
        <v>1.4554923823243301E-2</v>
      </c>
      <c r="J41" s="188">
        <f t="shared" si="8"/>
        <v>214</v>
      </c>
      <c r="K41" s="90">
        <f t="shared" si="9"/>
        <v>1.1567567567567567</v>
      </c>
      <c r="L41" s="188">
        <f t="shared" si="11"/>
        <v>44865346.200000003</v>
      </c>
      <c r="M41" s="130">
        <f t="shared" si="10"/>
        <v>1.0895887102035722</v>
      </c>
      <c r="N41" s="142"/>
      <c r="O41" s="142"/>
      <c r="P41" s="142"/>
      <c r="Q41" s="142"/>
      <c r="R41" s="142"/>
      <c r="S41" s="142"/>
    </row>
    <row r="42" spans="1:27" x14ac:dyDescent="0.25">
      <c r="A42" s="115" t="s">
        <v>106</v>
      </c>
      <c r="B42" s="231">
        <v>254</v>
      </c>
      <c r="C42" s="90">
        <f t="shared" si="7"/>
        <v>1.8515818632453709E-3</v>
      </c>
      <c r="D42" s="195">
        <v>63409503.49000001</v>
      </c>
      <c r="E42" s="130">
        <f>D42/D45</f>
        <v>1.3433685032163984E-2</v>
      </c>
      <c r="F42" s="192">
        <v>405</v>
      </c>
      <c r="G42" s="90">
        <f t="shared" si="12"/>
        <v>2.699640047993601E-3</v>
      </c>
      <c r="H42" s="192">
        <v>98152950.609999999</v>
      </c>
      <c r="I42" s="101">
        <f>H42/H45</f>
        <v>1.6603668526129305E-2</v>
      </c>
      <c r="J42" s="188">
        <f t="shared" si="8"/>
        <v>151</v>
      </c>
      <c r="K42" s="90">
        <f t="shared" si="9"/>
        <v>0.59448818897637801</v>
      </c>
      <c r="L42" s="188">
        <f t="shared" si="11"/>
        <v>34743447.11999999</v>
      </c>
      <c r="M42" s="130">
        <f t="shared" si="10"/>
        <v>0.5479217657882971</v>
      </c>
      <c r="N42" s="142"/>
      <c r="O42" s="142"/>
      <c r="P42" s="142"/>
      <c r="Q42" s="142"/>
      <c r="R42" s="142"/>
      <c r="S42" s="142"/>
    </row>
    <row r="43" spans="1:27" x14ac:dyDescent="0.25">
      <c r="A43" s="115" t="s">
        <v>107</v>
      </c>
      <c r="B43" s="231">
        <v>299</v>
      </c>
      <c r="C43" s="90">
        <f t="shared" si="7"/>
        <v>2.1796180201195509E-3</v>
      </c>
      <c r="D43" s="195">
        <v>85900590.050000012</v>
      </c>
      <c r="E43" s="130">
        <f>D43/D45</f>
        <v>1.8198557113615076E-2</v>
      </c>
      <c r="F43" s="192">
        <v>320</v>
      </c>
      <c r="G43" s="90">
        <f t="shared" si="12"/>
        <v>2.1330489268097585E-3</v>
      </c>
      <c r="H43" s="192">
        <v>91831318.870000005</v>
      </c>
      <c r="I43" s="101">
        <f>H43/H45</f>
        <v>1.5534293868486315E-2</v>
      </c>
      <c r="J43" s="188">
        <f t="shared" si="8"/>
        <v>21</v>
      </c>
      <c r="K43" s="90">
        <f t="shared" si="9"/>
        <v>7.0234113712374577E-2</v>
      </c>
      <c r="L43" s="188">
        <f t="shared" si="11"/>
        <v>5930728.8199999928</v>
      </c>
      <c r="M43" s="130">
        <f t="shared" si="10"/>
        <v>6.9041770452890991E-2</v>
      </c>
      <c r="N43" s="142"/>
      <c r="O43" s="142"/>
      <c r="P43" s="142"/>
      <c r="Q43" s="142"/>
      <c r="R43" s="142"/>
      <c r="S43" s="142"/>
    </row>
    <row r="44" spans="1:27" x14ac:dyDescent="0.25">
      <c r="A44" s="115" t="s">
        <v>60</v>
      </c>
      <c r="B44" s="231">
        <v>47</v>
      </c>
      <c r="C44" s="90">
        <f t="shared" si="7"/>
        <v>3.4261554162414348E-4</v>
      </c>
      <c r="D44" s="195">
        <v>21212080.800000001</v>
      </c>
      <c r="E44" s="130">
        <f>D44/D45</f>
        <v>4.4939070117297492E-3</v>
      </c>
      <c r="F44" s="192">
        <v>372</v>
      </c>
      <c r="G44" s="90">
        <f t="shared" si="12"/>
        <v>2.4796693774163446E-3</v>
      </c>
      <c r="H44" s="192">
        <v>146773842.28</v>
      </c>
      <c r="I44" s="102">
        <f>H44/H45</f>
        <v>2.4828435725855993E-2</v>
      </c>
      <c r="J44" s="188">
        <f t="shared" si="8"/>
        <v>325</v>
      </c>
      <c r="K44" s="90">
        <f t="shared" si="9"/>
        <v>6.9148936170212769</v>
      </c>
      <c r="L44" s="188">
        <f t="shared" si="11"/>
        <v>125561761.48</v>
      </c>
      <c r="M44" s="130">
        <f t="shared" si="10"/>
        <v>5.9193514612672979</v>
      </c>
      <c r="N44" s="142"/>
      <c r="O44" s="142"/>
      <c r="P44" s="142"/>
      <c r="Q44" s="142"/>
      <c r="R44" s="142"/>
      <c r="S44" s="142"/>
    </row>
    <row r="45" spans="1:27" ht="15.75" thickBot="1" x14ac:dyDescent="0.3">
      <c r="A45" s="109" t="s">
        <v>46</v>
      </c>
      <c r="B45" s="103">
        <f t="shared" ref="B45:I45" si="13">SUM(B32:B44)</f>
        <v>137180</v>
      </c>
      <c r="C45" s="104">
        <f t="shared" si="13"/>
        <v>1</v>
      </c>
      <c r="D45" s="105">
        <f>SUM(D32:D44)</f>
        <v>4720186854.0299997</v>
      </c>
      <c r="E45" s="106">
        <f t="shared" si="13"/>
        <v>1</v>
      </c>
      <c r="F45" s="105">
        <f t="shared" si="13"/>
        <v>150020</v>
      </c>
      <c r="G45" s="104">
        <f t="shared" si="13"/>
        <v>1</v>
      </c>
      <c r="H45" s="105">
        <f>SUM(H32:H44)</f>
        <v>5911521929.9599991</v>
      </c>
      <c r="I45" s="106">
        <f t="shared" si="13"/>
        <v>1</v>
      </c>
      <c r="J45" s="105">
        <f t="shared" si="8"/>
        <v>12840</v>
      </c>
      <c r="K45" s="104">
        <f t="shared" si="9"/>
        <v>9.3599650094766007E-2</v>
      </c>
      <c r="L45" s="105">
        <f t="shared" si="11"/>
        <v>1191335075.9299994</v>
      </c>
      <c r="M45" s="106">
        <f t="shared" si="10"/>
        <v>0.25239150753383027</v>
      </c>
      <c r="N45" s="142"/>
      <c r="O45" s="152"/>
      <c r="P45" s="152"/>
      <c r="Q45" s="142"/>
      <c r="R45" s="142"/>
      <c r="S45" s="142"/>
    </row>
    <row r="46" spans="1:27" ht="13.5" customHeight="1" x14ac:dyDescent="0.25">
      <c r="A46" s="194" t="s">
        <v>261</v>
      </c>
      <c r="B46" s="147"/>
      <c r="C46" s="147"/>
      <c r="D46" s="147"/>
      <c r="E46" s="142"/>
      <c r="F46" s="147"/>
      <c r="G46" s="147"/>
      <c r="H46" s="147"/>
      <c r="I46" s="142"/>
      <c r="J46" s="142"/>
      <c r="K46" s="142"/>
      <c r="L46" s="142"/>
      <c r="M46" s="142"/>
      <c r="N46" s="142"/>
      <c r="O46" s="142"/>
      <c r="P46" s="142"/>
      <c r="Q46" s="142"/>
      <c r="R46" s="147"/>
      <c r="S46" s="147"/>
      <c r="T46" s="147"/>
      <c r="U46" s="142"/>
      <c r="V46" s="142"/>
      <c r="W46" s="142"/>
      <c r="X46" s="142"/>
      <c r="Y46" s="142"/>
      <c r="Z46" s="142"/>
      <c r="AA46" s="142"/>
    </row>
    <row r="47" spans="1:27" ht="13.5" customHeight="1" x14ac:dyDescent="0.25">
      <c r="A47" s="194" t="s">
        <v>262</v>
      </c>
      <c r="B47" s="147"/>
      <c r="C47" s="147"/>
      <c r="D47" s="147"/>
      <c r="E47" s="142"/>
      <c r="F47" s="147"/>
      <c r="G47" s="147"/>
      <c r="H47" s="147"/>
      <c r="I47" s="142"/>
      <c r="J47" s="142"/>
      <c r="K47" s="142"/>
      <c r="L47" s="142"/>
      <c r="M47" s="142"/>
      <c r="N47" s="142"/>
      <c r="O47" s="142"/>
      <c r="P47" s="142"/>
      <c r="Q47" s="142"/>
      <c r="R47" s="147"/>
      <c r="S47" s="147"/>
      <c r="T47" s="147"/>
      <c r="U47" s="142"/>
      <c r="V47" s="142"/>
      <c r="W47" s="142"/>
      <c r="X47" s="142"/>
      <c r="Y47" s="142"/>
      <c r="Z47" s="142"/>
      <c r="AA47" s="142"/>
    </row>
    <row r="48" spans="1:27" ht="10.5" customHeight="1" x14ac:dyDescent="0.25">
      <c r="A48" s="151" t="s">
        <v>153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52"/>
      <c r="M48" s="152"/>
      <c r="N48" s="15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95"/>
      <c r="N49" s="198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5.75" thickBot="1" x14ac:dyDescent="0.3">
      <c r="A51" s="270" t="s">
        <v>61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142"/>
      <c r="O51" s="142"/>
      <c r="P51" s="142"/>
      <c r="Q51" s="142"/>
      <c r="R51" s="142"/>
      <c r="S51" s="142"/>
    </row>
    <row r="52" spans="1:27" ht="33" customHeight="1" x14ac:dyDescent="0.25">
      <c r="A52" s="182"/>
      <c r="B52" s="334" t="s">
        <v>260</v>
      </c>
      <c r="C52" s="331"/>
      <c r="D52" s="331"/>
      <c r="E52" s="335"/>
      <c r="F52" s="334" t="s">
        <v>246</v>
      </c>
      <c r="G52" s="331"/>
      <c r="H52" s="331"/>
      <c r="I52" s="335"/>
      <c r="J52" s="334" t="s">
        <v>143</v>
      </c>
      <c r="K52" s="332"/>
      <c r="L52" s="332"/>
      <c r="M52" s="333"/>
      <c r="N52" s="142"/>
      <c r="O52" s="142"/>
      <c r="P52" s="142"/>
      <c r="Q52" s="142"/>
      <c r="R52" s="142"/>
      <c r="S52" s="142"/>
    </row>
    <row r="53" spans="1:27" ht="45" x14ac:dyDescent="0.25">
      <c r="A53" s="119" t="s">
        <v>56</v>
      </c>
      <c r="B53" s="191" t="s">
        <v>146</v>
      </c>
      <c r="C53" s="58" t="s">
        <v>39</v>
      </c>
      <c r="D53" s="58" t="s">
        <v>147</v>
      </c>
      <c r="E53" s="99" t="s">
        <v>39</v>
      </c>
      <c r="F53" s="58" t="s">
        <v>146</v>
      </c>
      <c r="G53" s="58" t="s">
        <v>39</v>
      </c>
      <c r="H53" s="58" t="s">
        <v>147</v>
      </c>
      <c r="I53" s="99" t="s">
        <v>39</v>
      </c>
      <c r="J53" s="186" t="s">
        <v>211</v>
      </c>
      <c r="K53" s="128" t="s">
        <v>213</v>
      </c>
      <c r="L53" s="128" t="s">
        <v>212</v>
      </c>
      <c r="M53" s="129" t="s">
        <v>213</v>
      </c>
      <c r="N53" s="142"/>
      <c r="O53" s="142"/>
      <c r="P53" s="142"/>
      <c r="Q53" s="142"/>
      <c r="R53" s="142"/>
      <c r="S53" s="142"/>
    </row>
    <row r="54" spans="1:27" ht="18" hidden="1" customHeight="1" x14ac:dyDescent="0.25">
      <c r="A54" s="120" t="s">
        <v>116</v>
      </c>
      <c r="B54" s="187">
        <v>0</v>
      </c>
      <c r="C54" s="91">
        <f t="shared" ref="C54" si="14">B54/$F$65</f>
        <v>0</v>
      </c>
      <c r="D54" s="195">
        <v>0</v>
      </c>
      <c r="E54" s="122">
        <f>D54/D65</f>
        <v>0</v>
      </c>
      <c r="F54" s="192">
        <v>0</v>
      </c>
      <c r="G54" s="91">
        <f t="shared" ref="G54:G64" si="15">F54/$F$65</f>
        <v>0</v>
      </c>
      <c r="H54" s="193">
        <v>0</v>
      </c>
      <c r="I54" s="122">
        <f>H54/H65</f>
        <v>0</v>
      </c>
      <c r="J54" s="187">
        <f>+F54-B54</f>
        <v>0</v>
      </c>
      <c r="K54" s="91"/>
      <c r="L54" s="195">
        <f>+H54-D54</f>
        <v>0</v>
      </c>
      <c r="M54" s="122"/>
      <c r="N54" s="142"/>
      <c r="O54" s="142"/>
      <c r="P54" s="142"/>
      <c r="Q54" s="142"/>
      <c r="R54" s="142"/>
      <c r="S54" s="142"/>
    </row>
    <row r="55" spans="1:27" x14ac:dyDescent="0.25">
      <c r="A55" s="114" t="s">
        <v>108</v>
      </c>
      <c r="B55" s="187">
        <v>8</v>
      </c>
      <c r="C55" s="90">
        <f>B55/$B$65</f>
        <v>6.9800718947405152E-5</v>
      </c>
      <c r="D55" s="193">
        <v>266422.05000000005</v>
      </c>
      <c r="E55" s="130">
        <f>D55/D65</f>
        <v>5.8718801568081715E-5</v>
      </c>
      <c r="F55" s="187">
        <v>8</v>
      </c>
      <c r="G55" s="90">
        <f t="shared" si="15"/>
        <v>6.7055027031557766E-5</v>
      </c>
      <c r="H55" s="192">
        <v>310922.05000000005</v>
      </c>
      <c r="I55" s="116">
        <f>H55/H65</f>
        <v>5.5608823146589058E-5</v>
      </c>
      <c r="J55" s="187">
        <f>+F55-B55</f>
        <v>0</v>
      </c>
      <c r="K55" s="92">
        <f>+(F55-B55)/B55</f>
        <v>0</v>
      </c>
      <c r="L55" s="196">
        <f>+H55-D55</f>
        <v>44500</v>
      </c>
      <c r="M55" s="131">
        <f>+(H55-D55)/D55</f>
        <v>0.16702821707137225</v>
      </c>
      <c r="N55" s="142"/>
      <c r="O55" s="142"/>
      <c r="P55" s="142"/>
      <c r="Q55" s="142"/>
      <c r="R55" s="142"/>
      <c r="S55" s="142"/>
    </row>
    <row r="56" spans="1:27" x14ac:dyDescent="0.25">
      <c r="A56" s="114" t="s">
        <v>109</v>
      </c>
      <c r="B56" s="187">
        <v>86</v>
      </c>
      <c r="C56" s="90">
        <f t="shared" ref="C56:C63" si="16">B56/$B$65</f>
        <v>7.5035772868460549E-4</v>
      </c>
      <c r="D56" s="193">
        <v>3512722.67</v>
      </c>
      <c r="E56" s="130">
        <f>D56/D65</f>
        <v>7.7419592493726457E-4</v>
      </c>
      <c r="F56" s="187">
        <v>72</v>
      </c>
      <c r="G56" s="90">
        <f t="shared" si="15"/>
        <v>6.0349524328402E-4</v>
      </c>
      <c r="H56" s="192">
        <v>3961764.74</v>
      </c>
      <c r="I56" s="116">
        <f>H56/H65</f>
        <v>7.0856690535474201E-4</v>
      </c>
      <c r="J56" s="187">
        <f t="shared" ref="J56:J65" si="17">+F56-B56</f>
        <v>-14</v>
      </c>
      <c r="K56" s="92">
        <f t="shared" ref="K56:K65" si="18">+(F56-B56)/B56</f>
        <v>-0.16279069767441862</v>
      </c>
      <c r="L56" s="196">
        <f t="shared" ref="L56:L65" si="19">+H56-D56</f>
        <v>449042.0700000003</v>
      </c>
      <c r="M56" s="131">
        <f t="shared" ref="M56:M65" si="20">+(H56-D56)/D56</f>
        <v>0.12783305492203867</v>
      </c>
      <c r="N56" s="142"/>
      <c r="O56" s="142"/>
      <c r="P56" s="142"/>
      <c r="Q56" s="142"/>
      <c r="R56" s="142"/>
      <c r="S56" s="142"/>
    </row>
    <row r="57" spans="1:27" x14ac:dyDescent="0.25">
      <c r="A57" s="114" t="s">
        <v>110</v>
      </c>
      <c r="B57" s="187">
        <v>589</v>
      </c>
      <c r="C57" s="90">
        <f t="shared" si="16"/>
        <v>5.139077932502705E-3</v>
      </c>
      <c r="D57" s="193">
        <v>21118027.830000002</v>
      </c>
      <c r="E57" s="130">
        <f>D57/D65</f>
        <v>4.6543643277986834E-3</v>
      </c>
      <c r="F57" s="187">
        <v>544</v>
      </c>
      <c r="G57" s="90">
        <f t="shared" si="15"/>
        <v>4.5597418381459285E-3</v>
      </c>
      <c r="H57" s="192">
        <v>25998302.120000001</v>
      </c>
      <c r="I57" s="116">
        <f>H57/H65</f>
        <v>4.64983099366118E-3</v>
      </c>
      <c r="J57" s="187">
        <f t="shared" si="17"/>
        <v>-45</v>
      </c>
      <c r="K57" s="92">
        <f t="shared" si="18"/>
        <v>-7.6400679117147707E-2</v>
      </c>
      <c r="L57" s="196">
        <f t="shared" si="19"/>
        <v>4880274.2899999991</v>
      </c>
      <c r="M57" s="131">
        <f t="shared" si="20"/>
        <v>0.23109517277305333</v>
      </c>
      <c r="N57" s="142"/>
      <c r="O57" s="142"/>
      <c r="P57" s="142"/>
      <c r="Q57" s="142"/>
      <c r="R57" s="142"/>
      <c r="S57" s="142"/>
    </row>
    <row r="58" spans="1:27" x14ac:dyDescent="0.25">
      <c r="A58" s="114" t="s">
        <v>111</v>
      </c>
      <c r="B58" s="187">
        <v>3077</v>
      </c>
      <c r="C58" s="90">
        <f t="shared" si="16"/>
        <v>2.684710152514571E-2</v>
      </c>
      <c r="D58" s="193">
        <v>127232152.87</v>
      </c>
      <c r="E58" s="130">
        <f>D58/D65</f>
        <v>2.8041671241000387E-2</v>
      </c>
      <c r="F58" s="187">
        <v>2871</v>
      </c>
      <c r="G58" s="90">
        <f t="shared" si="15"/>
        <v>2.4064372825950295E-2</v>
      </c>
      <c r="H58" s="192">
        <v>145901725.61000001</v>
      </c>
      <c r="I58" s="116">
        <f>H58/H65</f>
        <v>2.6094718133463524E-2</v>
      </c>
      <c r="J58" s="187">
        <f t="shared" si="17"/>
        <v>-206</v>
      </c>
      <c r="K58" s="92">
        <f t="shared" si="18"/>
        <v>-6.6948326291842705E-2</v>
      </c>
      <c r="L58" s="196">
        <f t="shared" si="19"/>
        <v>18669572.74000001</v>
      </c>
      <c r="M58" s="131">
        <f t="shared" si="20"/>
        <v>0.14673627946133808</v>
      </c>
      <c r="N58" s="142"/>
      <c r="O58" s="142"/>
      <c r="P58" s="142"/>
      <c r="Q58" s="142"/>
      <c r="R58" s="142"/>
      <c r="S58" s="142"/>
    </row>
    <row r="59" spans="1:27" x14ac:dyDescent="0.25">
      <c r="A59" s="114" t="s">
        <v>112</v>
      </c>
      <c r="B59" s="187">
        <v>34793</v>
      </c>
      <c r="C59" s="90">
        <f t="shared" si="16"/>
        <v>0.30357205179213348</v>
      </c>
      <c r="D59" s="193">
        <v>1314403811.3199999</v>
      </c>
      <c r="E59" s="130">
        <f>D59/D65</f>
        <v>0.28969154984442685</v>
      </c>
      <c r="F59" s="187">
        <v>36619</v>
      </c>
      <c r="G59" s="90">
        <f>F59/$F$65</f>
        <v>0.30693600435857676</v>
      </c>
      <c r="H59" s="192">
        <v>1817112746.6800003</v>
      </c>
      <c r="I59" s="116">
        <f>H59/H65</f>
        <v>0.32499303721798056</v>
      </c>
      <c r="J59" s="187">
        <f t="shared" si="17"/>
        <v>1826</v>
      </c>
      <c r="K59" s="92">
        <f t="shared" si="18"/>
        <v>5.2481821055959534E-2</v>
      </c>
      <c r="L59" s="196">
        <f t="shared" si="19"/>
        <v>502708935.36000037</v>
      </c>
      <c r="M59" s="131">
        <f t="shared" si="20"/>
        <v>0.38246156244415569</v>
      </c>
      <c r="N59" s="142"/>
      <c r="O59" s="142"/>
      <c r="P59" s="142"/>
      <c r="Q59" s="142"/>
      <c r="R59" s="142"/>
      <c r="S59" s="142"/>
    </row>
    <row r="60" spans="1:27" x14ac:dyDescent="0.25">
      <c r="A60" s="114" t="s">
        <v>113</v>
      </c>
      <c r="B60" s="187">
        <v>46288</v>
      </c>
      <c r="C60" s="90">
        <f t="shared" si="16"/>
        <v>0.40386695982968623</v>
      </c>
      <c r="D60" s="193">
        <v>1913498937.1700001</v>
      </c>
      <c r="E60" s="130">
        <f>D60/D65</f>
        <v>0.42173072533756301</v>
      </c>
      <c r="F60" s="187">
        <v>48042</v>
      </c>
      <c r="G60" s="90">
        <f>F60/$F$65</f>
        <v>0.40268220108126229</v>
      </c>
      <c r="H60" s="192">
        <v>2286397095.04</v>
      </c>
      <c r="I60" s="116">
        <f>H60/H65</f>
        <v>0.40892516854611732</v>
      </c>
      <c r="J60" s="187">
        <f t="shared" si="17"/>
        <v>1754</v>
      </c>
      <c r="K60" s="92">
        <f t="shared" si="18"/>
        <v>3.7893190459730386E-2</v>
      </c>
      <c r="L60" s="196">
        <f t="shared" si="19"/>
        <v>372898157.86999989</v>
      </c>
      <c r="M60" s="131">
        <f t="shared" si="20"/>
        <v>0.19487764044515415</v>
      </c>
      <c r="N60" s="142"/>
      <c r="O60" s="142"/>
      <c r="P60" s="142"/>
      <c r="Q60" s="142"/>
      <c r="R60" s="142"/>
      <c r="S60" s="142"/>
    </row>
    <row r="61" spans="1:27" x14ac:dyDescent="0.25">
      <c r="A61" s="114" t="s">
        <v>114</v>
      </c>
      <c r="B61" s="187">
        <v>23828</v>
      </c>
      <c r="C61" s="90">
        <f t="shared" si="16"/>
        <v>0.20790144138484626</v>
      </c>
      <c r="D61" s="193">
        <v>925887131.79999995</v>
      </c>
      <c r="E61" s="130">
        <f>D61/D65</f>
        <v>0.20406337525968482</v>
      </c>
      <c r="F61" s="187">
        <v>25214</v>
      </c>
      <c r="G61" s="90">
        <f>F61/$F$65</f>
        <v>0.2113406814467122</v>
      </c>
      <c r="H61" s="192">
        <v>1069835090.74</v>
      </c>
      <c r="I61" s="116">
        <f>H61/H65</f>
        <v>0.19134143222385067</v>
      </c>
      <c r="J61" s="187">
        <f t="shared" si="17"/>
        <v>1386</v>
      </c>
      <c r="K61" s="92">
        <f t="shared" si="18"/>
        <v>5.8166862514688604E-2</v>
      </c>
      <c r="L61" s="196">
        <f t="shared" si="19"/>
        <v>143947958.94000006</v>
      </c>
      <c r="M61" s="131">
        <f t="shared" si="20"/>
        <v>0.15547030949674559</v>
      </c>
      <c r="N61" s="142"/>
      <c r="O61" s="142"/>
      <c r="P61" s="142"/>
      <c r="Q61" s="142"/>
      <c r="R61" s="142"/>
      <c r="S61" s="142"/>
    </row>
    <row r="62" spans="1:27" x14ac:dyDescent="0.25">
      <c r="A62" s="114" t="s">
        <v>115</v>
      </c>
      <c r="B62" s="187">
        <v>5471</v>
      </c>
      <c r="C62" s="90">
        <f t="shared" si="16"/>
        <v>4.7734966670156705E-2</v>
      </c>
      <c r="D62" s="193">
        <v>215215283.43000001</v>
      </c>
      <c r="E62" s="130">
        <f>D62/D65</f>
        <v>4.7432949045113318E-2</v>
      </c>
      <c r="F62" s="187">
        <v>5551</v>
      </c>
      <c r="G62" s="90">
        <f t="shared" si="15"/>
        <v>4.6527806881522152E-2</v>
      </c>
      <c r="H62" s="192">
        <v>227271265.56999999</v>
      </c>
      <c r="I62" s="116">
        <f>H62/H65</f>
        <v>4.0647768832682028E-2</v>
      </c>
      <c r="J62" s="187">
        <f t="shared" si="17"/>
        <v>80</v>
      </c>
      <c r="K62" s="92">
        <f t="shared" si="18"/>
        <v>1.4622555291537196E-2</v>
      </c>
      <c r="L62" s="196">
        <f t="shared" si="19"/>
        <v>12055982.139999986</v>
      </c>
      <c r="M62" s="131">
        <f t="shared" si="20"/>
        <v>5.6018243443762036E-2</v>
      </c>
      <c r="N62" s="142"/>
      <c r="O62" s="142"/>
      <c r="P62" s="142"/>
      <c r="Q62" s="142"/>
      <c r="R62" s="142"/>
      <c r="S62" s="142"/>
    </row>
    <row r="63" spans="1:27" x14ac:dyDescent="0.25">
      <c r="A63" s="121">
        <v>100</v>
      </c>
      <c r="B63" s="187">
        <v>331</v>
      </c>
      <c r="C63" s="90">
        <f t="shared" si="16"/>
        <v>2.8880047464488884E-3</v>
      </c>
      <c r="D63" s="193">
        <v>12909764.25</v>
      </c>
      <c r="E63" s="130">
        <f>D63/D65</f>
        <v>2.8452820826446804E-3</v>
      </c>
      <c r="F63" s="187">
        <v>344</v>
      </c>
      <c r="G63" s="90">
        <f t="shared" si="15"/>
        <v>2.8833661623569842E-3</v>
      </c>
      <c r="H63" s="192">
        <v>13207017.41</v>
      </c>
      <c r="I63" s="116">
        <f>H63/H65</f>
        <v>2.362092670644017E-3</v>
      </c>
      <c r="J63" s="187">
        <f t="shared" si="17"/>
        <v>13</v>
      </c>
      <c r="K63" s="92">
        <f t="shared" si="18"/>
        <v>3.9274924471299093E-2</v>
      </c>
      <c r="L63" s="196">
        <f t="shared" si="19"/>
        <v>297253.16000000015</v>
      </c>
      <c r="M63" s="131">
        <f t="shared" si="20"/>
        <v>2.302545222698394E-2</v>
      </c>
      <c r="N63" s="142"/>
      <c r="O63" s="142"/>
      <c r="P63" s="142"/>
      <c r="Q63" s="142"/>
      <c r="R63" s="142"/>
      <c r="S63" s="142"/>
    </row>
    <row r="64" spans="1:27" x14ac:dyDescent="0.25">
      <c r="A64" s="121" t="s">
        <v>176</v>
      </c>
      <c r="B64" s="187">
        <v>141</v>
      </c>
      <c r="C64" s="90">
        <f>B64/$B$65</f>
        <v>1.230237671448016E-3</v>
      </c>
      <c r="D64" s="193">
        <v>3208600.64</v>
      </c>
      <c r="E64" s="130">
        <f>D64/D65</f>
        <v>7.0716813526275314E-4</v>
      </c>
      <c r="F64" s="187">
        <v>40</v>
      </c>
      <c r="G64" s="90">
        <f t="shared" si="15"/>
        <v>3.3527513515778888E-4</v>
      </c>
      <c r="H64" s="192">
        <v>1240000</v>
      </c>
      <c r="I64" s="116">
        <f>H64/H65</f>
        <v>2.2177565309945184E-4</v>
      </c>
      <c r="J64" s="187">
        <f t="shared" si="17"/>
        <v>-101</v>
      </c>
      <c r="K64" s="92">
        <f t="shared" si="18"/>
        <v>-0.71631205673758869</v>
      </c>
      <c r="L64" s="196">
        <f t="shared" si="19"/>
        <v>-1968600.6400000001</v>
      </c>
      <c r="M64" s="131">
        <f t="shared" si="20"/>
        <v>-0.61353869205735745</v>
      </c>
      <c r="N64" s="142"/>
      <c r="O64" s="142"/>
      <c r="P64" s="142"/>
      <c r="Q64" s="142"/>
      <c r="R64" s="142"/>
      <c r="S64" s="142"/>
    </row>
    <row r="65" spans="1:27" ht="15.75" thickBot="1" x14ac:dyDescent="0.3">
      <c r="A65" s="109" t="s">
        <v>46</v>
      </c>
      <c r="B65" s="103">
        <f t="shared" ref="B65:I65" si="21">SUM(B54:B64)</f>
        <v>114612</v>
      </c>
      <c r="C65" s="104">
        <f t="shared" si="21"/>
        <v>1</v>
      </c>
      <c r="D65" s="105">
        <f>SUM(D54:D64)</f>
        <v>4537252854.0300007</v>
      </c>
      <c r="E65" s="106">
        <f t="shared" si="21"/>
        <v>0.99999999999999978</v>
      </c>
      <c r="F65" s="105">
        <f t="shared" si="21"/>
        <v>119305</v>
      </c>
      <c r="G65" s="104">
        <f t="shared" si="21"/>
        <v>1</v>
      </c>
      <c r="H65" s="105">
        <f t="shared" si="21"/>
        <v>5591235929.96</v>
      </c>
      <c r="I65" s="106">
        <f t="shared" si="21"/>
        <v>1.0000000000000002</v>
      </c>
      <c r="J65" s="105">
        <f t="shared" si="17"/>
        <v>4693</v>
      </c>
      <c r="K65" s="104">
        <f t="shared" si="18"/>
        <v>4.0946846752521554E-2</v>
      </c>
      <c r="L65" s="105">
        <f t="shared" si="19"/>
        <v>1053983075.9299994</v>
      </c>
      <c r="M65" s="106">
        <f t="shared" si="20"/>
        <v>0.23229542408989806</v>
      </c>
      <c r="N65" s="142"/>
      <c r="O65" s="142"/>
      <c r="P65" s="142"/>
      <c r="Q65" s="142"/>
      <c r="R65" s="142"/>
      <c r="S65" s="142"/>
    </row>
    <row r="66" spans="1:27" x14ac:dyDescent="0.25">
      <c r="A66" s="197" t="s">
        <v>157</v>
      </c>
      <c r="B66" s="147"/>
      <c r="C66" s="147"/>
      <c r="D66" s="147"/>
      <c r="E66" s="142"/>
      <c r="F66" s="147"/>
      <c r="G66" s="147"/>
      <c r="H66" s="147"/>
      <c r="I66" s="142"/>
      <c r="J66" s="142"/>
      <c r="K66" s="142"/>
      <c r="L66" s="142"/>
      <c r="M66" s="142"/>
      <c r="N66" s="142"/>
      <c r="O66" s="142"/>
      <c r="P66" s="142"/>
      <c r="Q66" s="142"/>
      <c r="R66" s="147"/>
      <c r="S66" s="147"/>
      <c r="T66" s="147"/>
      <c r="U66" s="142"/>
      <c r="V66" s="142"/>
      <c r="W66" s="142"/>
      <c r="X66" s="142"/>
      <c r="Y66" s="142"/>
      <c r="Z66" s="142"/>
      <c r="AA66" s="142"/>
    </row>
    <row r="67" spans="1:27" x14ac:dyDescent="0.25">
      <c r="A67" s="151" t="s">
        <v>153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</row>
    <row r="68" spans="1:27" x14ac:dyDescent="0.25">
      <c r="A68" s="142"/>
      <c r="B68" s="152"/>
      <c r="C68" s="142"/>
      <c r="D68" s="198"/>
      <c r="E68" s="142"/>
      <c r="F68" s="152"/>
      <c r="G68" s="142"/>
      <c r="H68" s="198"/>
      <c r="I68" s="142"/>
      <c r="J68" s="142"/>
      <c r="K68" s="142"/>
      <c r="L68" s="142"/>
      <c r="M68" s="142"/>
      <c r="N68" s="142"/>
      <c r="O68" s="142"/>
      <c r="P68" s="142"/>
      <c r="Q68" s="142"/>
      <c r="R68" s="152"/>
      <c r="S68" s="142"/>
      <c r="T68" s="198"/>
      <c r="U68" s="142"/>
      <c r="V68" s="142"/>
      <c r="W68" s="142"/>
      <c r="X68" s="142"/>
      <c r="Y68" s="142"/>
      <c r="Z68" s="142"/>
      <c r="AA68" s="142"/>
    </row>
  </sheetData>
  <mergeCells count="16">
    <mergeCell ref="A1:M1"/>
    <mergeCell ref="A2:M2"/>
    <mergeCell ref="J30:M30"/>
    <mergeCell ref="J52:M52"/>
    <mergeCell ref="B52:E52"/>
    <mergeCell ref="F52:I52"/>
    <mergeCell ref="B30:E30"/>
    <mergeCell ref="F30:I30"/>
    <mergeCell ref="A4:AA4"/>
    <mergeCell ref="A3:AA3"/>
    <mergeCell ref="A19:I19"/>
    <mergeCell ref="A5:AA5"/>
    <mergeCell ref="B7:E7"/>
    <mergeCell ref="F7:I7"/>
    <mergeCell ref="J7:M7"/>
    <mergeCell ref="A6:M6"/>
  </mergeCells>
  <pageMargins left="0.7" right="0.7" top="0.75" bottom="0.75" header="0.3" footer="0.3"/>
  <pageSetup paperSize="9" scale="18" orientation="portrait" r:id="rId1"/>
  <rowBreaks count="1" manualBreakCount="1">
    <brk id="47" max="17" man="1"/>
  </rowBreaks>
  <ignoredErrors>
    <ignoredError sqref="K32:K45 K9:K18 K55:K65 L9:L18 L32:L45 L55:L65" 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0"/>
  <sheetViews>
    <sheetView showGridLines="0" tabSelected="1" topLeftCell="D1" zoomScaleNormal="100" workbookViewId="0">
      <selection activeCell="B12" sqref="B12"/>
    </sheetView>
  </sheetViews>
  <sheetFormatPr baseColWidth="10" defaultColWidth="11.42578125" defaultRowHeight="15" x14ac:dyDescent="0.25"/>
  <cols>
    <col min="1" max="1" width="11.42578125" style="1"/>
    <col min="2" max="2" width="10.140625" style="1" customWidth="1"/>
    <col min="3" max="3" width="16.28515625" style="1" bestFit="1" customWidth="1"/>
    <col min="4" max="4" width="8.7109375" style="1" customWidth="1"/>
    <col min="5" max="5" width="13.42578125" style="1" bestFit="1" customWidth="1"/>
    <col min="6" max="6" width="11.42578125" style="1"/>
    <col min="7" max="7" width="14.140625" style="1" bestFit="1" customWidth="1"/>
    <col min="8" max="8" width="8.7109375" style="1" customWidth="1"/>
    <col min="9" max="9" width="14.7109375" style="1" customWidth="1"/>
    <col min="10" max="10" width="11.42578125" style="1"/>
    <col min="11" max="11" width="15.28515625" style="1" customWidth="1"/>
    <col min="12" max="12" width="9" style="1" customWidth="1"/>
    <col min="13" max="13" width="13.42578125" style="1" customWidth="1"/>
    <col min="14" max="14" width="11.140625" style="1" customWidth="1"/>
    <col min="15" max="15" width="15" style="1" customWidth="1"/>
    <col min="16" max="16" width="7.7109375" style="1" customWidth="1"/>
    <col min="17" max="17" width="15.7109375" style="1" customWidth="1"/>
    <col min="18" max="18" width="20.42578125" style="1" customWidth="1"/>
    <col min="19" max="16384" width="11.42578125" style="1"/>
  </cols>
  <sheetData>
    <row r="1" spans="1:18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8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8" x14ac:dyDescent="0.25">
      <c r="A3" s="304" t="s">
        <v>160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8" x14ac:dyDescent="0.25">
      <c r="A4" s="304" t="s">
        <v>228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8" x14ac:dyDescent="0.25">
      <c r="A5" s="305" t="s">
        <v>229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18" x14ac:dyDescent="0.25">
      <c r="A6" s="96"/>
      <c r="B6" s="341" t="s">
        <v>225</v>
      </c>
      <c r="C6" s="341"/>
      <c r="D6" s="341"/>
      <c r="E6" s="341"/>
      <c r="F6" s="342" t="s">
        <v>139</v>
      </c>
      <c r="G6" s="342"/>
      <c r="H6" s="342"/>
      <c r="I6" s="342"/>
      <c r="J6" s="340" t="s">
        <v>14</v>
      </c>
      <c r="K6" s="340"/>
      <c r="L6" s="340"/>
      <c r="M6" s="340"/>
      <c r="N6" s="343" t="s">
        <v>15</v>
      </c>
      <c r="O6" s="343"/>
      <c r="P6" s="343"/>
      <c r="Q6" s="343"/>
    </row>
    <row r="7" spans="1:18" x14ac:dyDescent="0.25">
      <c r="A7" s="180"/>
      <c r="B7" s="339" t="s">
        <v>24</v>
      </c>
      <c r="C7" s="339"/>
      <c r="D7" s="339" t="s">
        <v>25</v>
      </c>
      <c r="E7" s="339"/>
      <c r="F7" s="339" t="s">
        <v>24</v>
      </c>
      <c r="G7" s="339"/>
      <c r="H7" s="339" t="s">
        <v>25</v>
      </c>
      <c r="I7" s="339"/>
      <c r="J7" s="339" t="s">
        <v>24</v>
      </c>
      <c r="K7" s="339"/>
      <c r="L7" s="339" t="s">
        <v>25</v>
      </c>
      <c r="M7" s="339"/>
      <c r="N7" s="339" t="s">
        <v>117</v>
      </c>
      <c r="O7" s="339"/>
      <c r="P7" s="339" t="s">
        <v>25</v>
      </c>
      <c r="Q7" s="339"/>
    </row>
    <row r="8" spans="1:18" ht="32.25" customHeight="1" x14ac:dyDescent="0.25">
      <c r="A8" s="156" t="s">
        <v>1</v>
      </c>
      <c r="B8" s="141" t="s">
        <v>26</v>
      </c>
      <c r="C8" s="141" t="s">
        <v>18</v>
      </c>
      <c r="D8" s="141" t="s">
        <v>17</v>
      </c>
      <c r="E8" s="157" t="s">
        <v>18</v>
      </c>
      <c r="F8" s="141" t="s">
        <v>27</v>
      </c>
      <c r="G8" s="141" t="s">
        <v>18</v>
      </c>
      <c r="H8" s="141" t="s">
        <v>17</v>
      </c>
      <c r="I8" s="157" t="s">
        <v>18</v>
      </c>
      <c r="J8" s="141" t="s">
        <v>27</v>
      </c>
      <c r="K8" s="141" t="s">
        <v>18</v>
      </c>
      <c r="L8" s="141" t="s">
        <v>17</v>
      </c>
      <c r="M8" s="199" t="s">
        <v>18</v>
      </c>
      <c r="N8" s="141" t="s">
        <v>28</v>
      </c>
      <c r="O8" s="141" t="s">
        <v>18</v>
      </c>
      <c r="P8" s="141" t="s">
        <v>29</v>
      </c>
      <c r="Q8" s="157" t="s">
        <v>18</v>
      </c>
    </row>
    <row r="9" spans="1:18" ht="15" hidden="1" customHeight="1" x14ac:dyDescent="0.25">
      <c r="A9" s="236" t="s">
        <v>126</v>
      </c>
      <c r="B9" s="232"/>
      <c r="C9" s="232"/>
      <c r="D9" s="232"/>
      <c r="E9" s="242"/>
      <c r="F9" s="232"/>
      <c r="G9" s="232"/>
      <c r="H9" s="232"/>
      <c r="I9" s="201"/>
      <c r="J9" s="232"/>
      <c r="K9" s="233"/>
      <c r="L9" s="175"/>
      <c r="M9" s="234"/>
      <c r="N9" s="199">
        <f>+B9+J9+F9</f>
        <v>0</v>
      </c>
      <c r="O9" s="40">
        <f>+C9+K9+G9</f>
        <v>0</v>
      </c>
      <c r="P9" s="237">
        <f>+D9+L9+H9</f>
        <v>0</v>
      </c>
      <c r="Q9" s="199">
        <f>+E9+M9+I9</f>
        <v>0</v>
      </c>
    </row>
    <row r="10" spans="1:18" x14ac:dyDescent="0.25">
      <c r="A10" s="47" t="s">
        <v>84</v>
      </c>
      <c r="B10" s="175">
        <v>130015</v>
      </c>
      <c r="C10" s="200">
        <v>1855113979.98</v>
      </c>
      <c r="D10" s="175">
        <v>1777</v>
      </c>
      <c r="E10" s="201">
        <v>26320195.219999999</v>
      </c>
      <c r="F10" s="175">
        <v>17205</v>
      </c>
      <c r="G10" s="200">
        <v>103230000</v>
      </c>
      <c r="H10" s="175">
        <v>1023</v>
      </c>
      <c r="I10" s="201">
        <v>6138000</v>
      </c>
      <c r="J10" s="175">
        <v>21346</v>
      </c>
      <c r="K10" s="200">
        <v>484724840.97000003</v>
      </c>
      <c r="L10" s="175">
        <v>75</v>
      </c>
      <c r="M10" s="201">
        <v>1551507.69</v>
      </c>
      <c r="N10" s="40">
        <f t="shared" ref="N10" si="0">+B10+J10+F10</f>
        <v>168566</v>
      </c>
      <c r="O10" s="40">
        <f t="shared" ref="O10" si="1">+C10+K10+G10</f>
        <v>2443068820.9499998</v>
      </c>
      <c r="P10" s="40">
        <f t="shared" ref="P10" si="2">+D10+L10+H10</f>
        <v>2875</v>
      </c>
      <c r="Q10" s="40">
        <f t="shared" ref="Q10" si="3">+E10+M10+I10</f>
        <v>34009702.909999996</v>
      </c>
      <c r="R10" s="37"/>
    </row>
    <row r="11" spans="1:18" x14ac:dyDescent="0.25">
      <c r="A11" s="47" t="s">
        <v>83</v>
      </c>
      <c r="B11" s="175">
        <v>129170</v>
      </c>
      <c r="C11" s="200">
        <v>1841379532.9300001</v>
      </c>
      <c r="D11" s="175">
        <v>1835</v>
      </c>
      <c r="E11" s="201">
        <v>22085983.350000001</v>
      </c>
      <c r="F11" s="175">
        <v>15506</v>
      </c>
      <c r="G11" s="200">
        <v>93036000</v>
      </c>
      <c r="H11" s="175">
        <v>2286</v>
      </c>
      <c r="I11" s="201">
        <v>13716000</v>
      </c>
      <c r="J11" s="175">
        <v>21311</v>
      </c>
      <c r="K11" s="200">
        <v>480632008.23000002</v>
      </c>
      <c r="L11" s="175">
        <v>101</v>
      </c>
      <c r="M11" s="201">
        <v>2082781.57</v>
      </c>
      <c r="N11" s="40">
        <f t="shared" ref="N11:Q12" si="4">+B11+J11+F11</f>
        <v>165987</v>
      </c>
      <c r="O11" s="40">
        <f t="shared" si="4"/>
        <v>2415047541.1599998</v>
      </c>
      <c r="P11" s="40">
        <f t="shared" si="4"/>
        <v>4222</v>
      </c>
      <c r="Q11" s="40">
        <f t="shared" si="4"/>
        <v>37884764.920000002</v>
      </c>
    </row>
    <row r="12" spans="1:18" x14ac:dyDescent="0.25">
      <c r="A12" s="47" t="s">
        <v>82</v>
      </c>
      <c r="B12" s="175">
        <v>128806</v>
      </c>
      <c r="C12" s="200">
        <v>1831002575.8499999</v>
      </c>
      <c r="D12" s="175">
        <v>1408</v>
      </c>
      <c r="E12" s="201">
        <v>15333662.630000001</v>
      </c>
      <c r="F12" s="175">
        <v>14786</v>
      </c>
      <c r="G12" s="200">
        <v>88716000</v>
      </c>
      <c r="H12" s="175">
        <v>2575</v>
      </c>
      <c r="I12" s="201">
        <v>15450000</v>
      </c>
      <c r="J12" s="175">
        <v>21353</v>
      </c>
      <c r="K12" s="200">
        <v>480702532.86000001</v>
      </c>
      <c r="L12" s="175">
        <v>78</v>
      </c>
      <c r="M12" s="201">
        <v>1548566.72</v>
      </c>
      <c r="N12" s="40">
        <f t="shared" si="4"/>
        <v>164945</v>
      </c>
      <c r="O12" s="40">
        <f t="shared" si="4"/>
        <v>2400421108.71</v>
      </c>
      <c r="P12" s="40">
        <f t="shared" si="4"/>
        <v>4061</v>
      </c>
      <c r="Q12" s="40">
        <f>+E12+M12+I12</f>
        <v>32332229.350000001</v>
      </c>
    </row>
    <row r="13" spans="1:18" x14ac:dyDescent="0.25">
      <c r="A13" s="49" t="s">
        <v>91</v>
      </c>
      <c r="B13" s="59">
        <f>+B10</f>
        <v>130015</v>
      </c>
      <c r="C13" s="59">
        <f>SUM(C10:C12)</f>
        <v>5527496088.7600002</v>
      </c>
      <c r="D13" s="59">
        <f>SUM(D10:D12)</f>
        <v>5020</v>
      </c>
      <c r="E13" s="59">
        <f>SUM(E10:E12)</f>
        <v>63739841.200000003</v>
      </c>
      <c r="F13" s="59">
        <f>+F10</f>
        <v>17205</v>
      </c>
      <c r="G13" s="60">
        <f>SUM(G10:G12)</f>
        <v>284982000</v>
      </c>
      <c r="H13" s="59">
        <f>SUM(H10:H12)</f>
        <v>5884</v>
      </c>
      <c r="I13" s="59">
        <f>SUM(I10:I12)</f>
        <v>35304000</v>
      </c>
      <c r="J13" s="59">
        <f>+J10</f>
        <v>21346</v>
      </c>
      <c r="K13" s="59">
        <f>SUM(K10:K12)</f>
        <v>1446059382.0599999</v>
      </c>
      <c r="L13" s="59">
        <f>SUM(L10:L12)</f>
        <v>254</v>
      </c>
      <c r="M13" s="59">
        <f>SUM(M10:M12)</f>
        <v>5182855.9799999995</v>
      </c>
      <c r="N13" s="59">
        <f>+N10</f>
        <v>168566</v>
      </c>
      <c r="O13" s="59">
        <f>SUM(O10:O12)</f>
        <v>7258537470.8199997</v>
      </c>
      <c r="P13" s="59">
        <f>SUM(P10:P12)</f>
        <v>11158</v>
      </c>
      <c r="Q13" s="59">
        <f>SUM(Q10:Q12)</f>
        <v>104226697.18000001</v>
      </c>
      <c r="R13" s="243">
        <f>O13+Q13</f>
        <v>7362764168</v>
      </c>
    </row>
    <row r="14" spans="1:18" hidden="1" x14ac:dyDescent="0.25">
      <c r="A14" s="47" t="s">
        <v>34</v>
      </c>
      <c r="B14" s="175"/>
      <c r="C14" s="200"/>
      <c r="D14" s="175"/>
      <c r="E14" s="201"/>
      <c r="F14" s="175"/>
      <c r="G14" s="200"/>
      <c r="H14" s="175">
        <f>SUM(H10:H12)</f>
        <v>5884</v>
      </c>
      <c r="I14" s="201"/>
      <c r="J14" s="175"/>
      <c r="K14" s="200"/>
      <c r="L14" s="175"/>
      <c r="M14" s="201"/>
      <c r="N14" s="40">
        <f t="shared" ref="N14:Q16" si="5">+B14+J14+F14</f>
        <v>0</v>
      </c>
      <c r="O14" s="61">
        <f t="shared" si="5"/>
        <v>0</v>
      </c>
      <c r="P14" s="40">
        <f t="shared" si="5"/>
        <v>5884</v>
      </c>
      <c r="Q14" s="61">
        <f t="shared" si="5"/>
        <v>0</v>
      </c>
    </row>
    <row r="15" spans="1:18" hidden="1" x14ac:dyDescent="0.25">
      <c r="A15" s="47" t="s">
        <v>35</v>
      </c>
      <c r="B15" s="175"/>
      <c r="C15" s="200"/>
      <c r="D15" s="175"/>
      <c r="E15" s="201"/>
      <c r="F15" s="175"/>
      <c r="G15" s="200"/>
      <c r="H15" s="175"/>
      <c r="I15" s="201"/>
      <c r="J15" s="175"/>
      <c r="K15" s="200"/>
      <c r="L15" s="175"/>
      <c r="M15" s="201"/>
      <c r="N15" s="40">
        <f t="shared" si="5"/>
        <v>0</v>
      </c>
      <c r="O15" s="61">
        <f t="shared" si="5"/>
        <v>0</v>
      </c>
      <c r="P15" s="40">
        <f t="shared" si="5"/>
        <v>0</v>
      </c>
      <c r="Q15" s="61">
        <f t="shared" si="5"/>
        <v>0</v>
      </c>
    </row>
    <row r="16" spans="1:18" hidden="1" x14ac:dyDescent="0.25">
      <c r="A16" s="47" t="s">
        <v>36</v>
      </c>
      <c r="B16" s="175"/>
      <c r="C16" s="200"/>
      <c r="D16" s="175"/>
      <c r="E16" s="201"/>
      <c r="F16" s="175"/>
      <c r="G16" s="200"/>
      <c r="H16" s="175"/>
      <c r="I16" s="201"/>
      <c r="J16" s="175"/>
      <c r="K16" s="200"/>
      <c r="L16" s="175"/>
      <c r="M16" s="201"/>
      <c r="N16" s="40">
        <f t="shared" si="5"/>
        <v>0</v>
      </c>
      <c r="O16" s="61">
        <f t="shared" si="5"/>
        <v>0</v>
      </c>
      <c r="P16" s="40">
        <f t="shared" si="5"/>
        <v>0</v>
      </c>
      <c r="Q16" s="61">
        <f t="shared" si="5"/>
        <v>0</v>
      </c>
    </row>
    <row r="17" spans="1:18" hidden="1" x14ac:dyDescent="0.25">
      <c r="A17" s="49" t="s">
        <v>129</v>
      </c>
      <c r="B17" s="59">
        <f>+B16</f>
        <v>0</v>
      </c>
      <c r="C17" s="60">
        <f>SUM(C14:C16)</f>
        <v>0</v>
      </c>
      <c r="D17" s="59">
        <f>+D16</f>
        <v>0</v>
      </c>
      <c r="E17" s="60">
        <f>SUM(E14:E16)</f>
        <v>0</v>
      </c>
      <c r="F17" s="59">
        <f>+F16</f>
        <v>0</v>
      </c>
      <c r="G17" s="60">
        <f>SUM(G14:G16)</f>
        <v>0</v>
      </c>
      <c r="H17" s="59">
        <f>+H16</f>
        <v>0</v>
      </c>
      <c r="I17" s="60">
        <f>SUM(I14:I16)</f>
        <v>0</v>
      </c>
      <c r="J17" s="59">
        <f>+J16</f>
        <v>0</v>
      </c>
      <c r="K17" s="60">
        <f>SUM(K14:K16)</f>
        <v>0</v>
      </c>
      <c r="L17" s="59">
        <f>+L16</f>
        <v>0</v>
      </c>
      <c r="M17" s="60">
        <f>SUM(M14:M16)</f>
        <v>0</v>
      </c>
      <c r="N17" s="59">
        <f>+N16</f>
        <v>0</v>
      </c>
      <c r="O17" s="60">
        <f>SUM(O14:O16)</f>
        <v>0</v>
      </c>
      <c r="P17" s="59">
        <f>+P16</f>
        <v>0</v>
      </c>
      <c r="Q17" s="60">
        <f>SUM(Q14:Q16)</f>
        <v>0</v>
      </c>
      <c r="R17" s="38"/>
    </row>
    <row r="18" spans="1:18" hidden="1" x14ac:dyDescent="0.25">
      <c r="A18" s="47" t="s">
        <v>85</v>
      </c>
      <c r="B18" s="175"/>
      <c r="C18" s="200"/>
      <c r="D18" s="175"/>
      <c r="E18" s="201"/>
      <c r="F18" s="175"/>
      <c r="G18" s="200"/>
      <c r="H18" s="175"/>
      <c r="I18" s="201"/>
      <c r="J18" s="175"/>
      <c r="K18" s="200"/>
      <c r="L18" s="175"/>
      <c r="M18" s="201"/>
      <c r="N18" s="40">
        <f t="shared" ref="N18:Q20" si="6">+B18+J18+F18</f>
        <v>0</v>
      </c>
      <c r="O18" s="61">
        <f t="shared" si="6"/>
        <v>0</v>
      </c>
      <c r="P18" s="40">
        <f t="shared" si="6"/>
        <v>0</v>
      </c>
      <c r="Q18" s="61">
        <f t="shared" si="6"/>
        <v>0</v>
      </c>
    </row>
    <row r="19" spans="1:18" hidden="1" x14ac:dyDescent="0.25">
      <c r="A19" s="47" t="s">
        <v>86</v>
      </c>
      <c r="B19" s="175"/>
      <c r="C19" s="200"/>
      <c r="D19" s="175"/>
      <c r="E19" s="201"/>
      <c r="F19" s="175"/>
      <c r="G19" s="200"/>
      <c r="H19" s="175"/>
      <c r="I19" s="201"/>
      <c r="J19" s="175"/>
      <c r="K19" s="200"/>
      <c r="L19" s="175"/>
      <c r="M19" s="201"/>
      <c r="N19" s="40">
        <f t="shared" si="6"/>
        <v>0</v>
      </c>
      <c r="O19" s="61">
        <f t="shared" si="6"/>
        <v>0</v>
      </c>
      <c r="P19" s="40">
        <f t="shared" si="6"/>
        <v>0</v>
      </c>
      <c r="Q19" s="61">
        <f t="shared" si="6"/>
        <v>0</v>
      </c>
    </row>
    <row r="20" spans="1:18" hidden="1" x14ac:dyDescent="0.25">
      <c r="A20" s="47" t="s">
        <v>87</v>
      </c>
      <c r="B20" s="175"/>
      <c r="C20" s="200"/>
      <c r="D20" s="175"/>
      <c r="E20" s="201"/>
      <c r="F20" s="175"/>
      <c r="G20" s="200"/>
      <c r="H20" s="175"/>
      <c r="I20" s="201"/>
      <c r="J20" s="175"/>
      <c r="K20" s="200"/>
      <c r="L20" s="175"/>
      <c r="M20" s="201"/>
      <c r="N20" s="40">
        <f t="shared" si="6"/>
        <v>0</v>
      </c>
      <c r="O20" s="61">
        <f t="shared" si="6"/>
        <v>0</v>
      </c>
      <c r="P20" s="40">
        <f t="shared" si="6"/>
        <v>0</v>
      </c>
      <c r="Q20" s="61">
        <f t="shared" si="6"/>
        <v>0</v>
      </c>
    </row>
    <row r="21" spans="1:18" hidden="1" x14ac:dyDescent="0.25">
      <c r="A21" s="49" t="s">
        <v>92</v>
      </c>
      <c r="B21" s="59">
        <f>+B20</f>
        <v>0</v>
      </c>
      <c r="C21" s="60">
        <f>SUM(C18:C20)</f>
        <v>0</v>
      </c>
      <c r="D21" s="59">
        <f>+D20</f>
        <v>0</v>
      </c>
      <c r="E21" s="60">
        <f>SUM(E18:E20)</f>
        <v>0</v>
      </c>
      <c r="F21" s="59">
        <f>+F20</f>
        <v>0</v>
      </c>
      <c r="G21" s="60">
        <f>SUM(G18:G20)</f>
        <v>0</v>
      </c>
      <c r="H21" s="59">
        <f>+H20</f>
        <v>0</v>
      </c>
      <c r="I21" s="60">
        <f>SUM(I18:I20)</f>
        <v>0</v>
      </c>
      <c r="J21" s="59">
        <f>+J20</f>
        <v>0</v>
      </c>
      <c r="K21" s="60">
        <f>SUM(K18:K20)</f>
        <v>0</v>
      </c>
      <c r="L21" s="59">
        <f>+L20</f>
        <v>0</v>
      </c>
      <c r="M21" s="60">
        <f>SUM(M18:M20)</f>
        <v>0</v>
      </c>
      <c r="N21" s="59">
        <f>+N20</f>
        <v>0</v>
      </c>
      <c r="O21" s="60">
        <f>SUM(O18:O20)</f>
        <v>0</v>
      </c>
      <c r="P21" s="59">
        <f>+P20</f>
        <v>0</v>
      </c>
      <c r="Q21" s="60">
        <f>SUM(Q18:Q20)</f>
        <v>0</v>
      </c>
      <c r="R21" s="38"/>
    </row>
    <row r="22" spans="1:18" hidden="1" x14ac:dyDescent="0.25">
      <c r="A22" s="47" t="s">
        <v>88</v>
      </c>
      <c r="B22" s="175"/>
      <c r="C22" s="200"/>
      <c r="D22" s="175"/>
      <c r="E22" s="201"/>
      <c r="F22" s="175"/>
      <c r="G22" s="200"/>
      <c r="H22" s="175"/>
      <c r="I22" s="201"/>
      <c r="J22" s="175"/>
      <c r="K22" s="200"/>
      <c r="L22" s="175"/>
      <c r="M22" s="201"/>
      <c r="N22" s="40">
        <f t="shared" ref="N22:Q25" si="7">+B22+J22+F22</f>
        <v>0</v>
      </c>
      <c r="O22" s="61">
        <f t="shared" si="7"/>
        <v>0</v>
      </c>
      <c r="P22" s="40">
        <f t="shared" si="7"/>
        <v>0</v>
      </c>
      <c r="Q22" s="61">
        <f t="shared" si="7"/>
        <v>0</v>
      </c>
    </row>
    <row r="23" spans="1:18" hidden="1" x14ac:dyDescent="0.25">
      <c r="A23" s="47" t="s">
        <v>89</v>
      </c>
      <c r="B23" s="175"/>
      <c r="C23" s="200"/>
      <c r="D23" s="175"/>
      <c r="E23" s="201"/>
      <c r="F23" s="175"/>
      <c r="G23" s="200"/>
      <c r="H23" s="175"/>
      <c r="I23" s="201"/>
      <c r="J23" s="175"/>
      <c r="K23" s="200"/>
      <c r="L23" s="175"/>
      <c r="M23" s="201"/>
      <c r="N23" s="40">
        <f t="shared" si="7"/>
        <v>0</v>
      </c>
      <c r="O23" s="61">
        <f t="shared" si="7"/>
        <v>0</v>
      </c>
      <c r="P23" s="40">
        <f t="shared" si="7"/>
        <v>0</v>
      </c>
      <c r="Q23" s="61">
        <f t="shared" si="7"/>
        <v>0</v>
      </c>
    </row>
    <row r="24" spans="1:18" hidden="1" x14ac:dyDescent="0.25">
      <c r="A24" s="47" t="s">
        <v>90</v>
      </c>
      <c r="B24" s="175"/>
      <c r="C24" s="200"/>
      <c r="D24" s="175"/>
      <c r="E24" s="201"/>
      <c r="F24" s="175"/>
      <c r="G24" s="200"/>
      <c r="H24" s="175"/>
      <c r="I24" s="201"/>
      <c r="J24" s="175"/>
      <c r="K24" s="200"/>
      <c r="L24" s="175"/>
      <c r="M24" s="201"/>
      <c r="N24" s="40">
        <f t="shared" si="7"/>
        <v>0</v>
      </c>
      <c r="O24" s="61">
        <f t="shared" si="7"/>
        <v>0</v>
      </c>
      <c r="P24" s="40">
        <f t="shared" si="7"/>
        <v>0</v>
      </c>
      <c r="Q24" s="61">
        <f t="shared" si="7"/>
        <v>0</v>
      </c>
    </row>
    <row r="25" spans="1:18" hidden="1" x14ac:dyDescent="0.25">
      <c r="A25" s="47" t="s">
        <v>126</v>
      </c>
      <c r="B25" s="175"/>
      <c r="C25" s="200"/>
      <c r="D25" s="175"/>
      <c r="E25" s="201"/>
      <c r="F25" s="175"/>
      <c r="G25" s="200"/>
      <c r="H25" s="175"/>
      <c r="I25" s="201"/>
      <c r="J25" s="175"/>
      <c r="K25" s="200"/>
      <c r="L25" s="175"/>
      <c r="M25" s="201"/>
      <c r="N25" s="40">
        <f t="shared" si="7"/>
        <v>0</v>
      </c>
      <c r="O25" s="61">
        <f t="shared" si="7"/>
        <v>0</v>
      </c>
      <c r="P25" s="40">
        <f t="shared" si="7"/>
        <v>0</v>
      </c>
      <c r="Q25" s="61">
        <f t="shared" si="7"/>
        <v>0</v>
      </c>
    </row>
    <row r="26" spans="1:18" hidden="1" x14ac:dyDescent="0.25">
      <c r="A26" s="49" t="s">
        <v>93</v>
      </c>
      <c r="B26" s="59">
        <f>+B24</f>
        <v>0</v>
      </c>
      <c r="C26" s="59">
        <f>SUM(C22:C25)</f>
        <v>0</v>
      </c>
      <c r="D26" s="59">
        <f>+D24</f>
        <v>0</v>
      </c>
      <c r="E26" s="60">
        <f>SUM(E22:E25)</f>
        <v>0</v>
      </c>
      <c r="F26" s="59">
        <f>+F24</f>
        <v>0</v>
      </c>
      <c r="G26" s="60">
        <f>SUM(G22:G25)</f>
        <v>0</v>
      </c>
      <c r="H26" s="59">
        <f>+H24</f>
        <v>0</v>
      </c>
      <c r="I26" s="60">
        <f>SUM(I22:I25)</f>
        <v>0</v>
      </c>
      <c r="J26" s="59">
        <f>+J24</f>
        <v>0</v>
      </c>
      <c r="K26" s="60">
        <f>SUM(K22:K25)</f>
        <v>0</v>
      </c>
      <c r="L26" s="59">
        <f>+L24</f>
        <v>0</v>
      </c>
      <c r="M26" s="60">
        <f>SUM(M22:M25)</f>
        <v>0</v>
      </c>
      <c r="N26" s="59">
        <f>+N24</f>
        <v>0</v>
      </c>
      <c r="O26" s="60">
        <f>SUM(O22:O25)</f>
        <v>0</v>
      </c>
      <c r="P26" s="59">
        <f>+P24</f>
        <v>0</v>
      </c>
      <c r="Q26" s="60">
        <f>SUM(Q22:Q25)</f>
        <v>0</v>
      </c>
      <c r="R26" s="38"/>
    </row>
    <row r="27" spans="1:18" hidden="1" x14ac:dyDescent="0.25">
      <c r="A27" s="52" t="s">
        <v>9</v>
      </c>
      <c r="B27" s="62">
        <f>+B26</f>
        <v>0</v>
      </c>
      <c r="C27" s="63">
        <f>+C13+C17+C21+C26</f>
        <v>5527496088.7600002</v>
      </c>
      <c r="D27" s="62">
        <f>+D26</f>
        <v>0</v>
      </c>
      <c r="E27" s="63">
        <f>+E13+E17+E21+E26</f>
        <v>63739841.200000003</v>
      </c>
      <c r="F27" s="62">
        <f>+F26</f>
        <v>0</v>
      </c>
      <c r="G27" s="63">
        <f>+G13+G17+G21+G26</f>
        <v>284982000</v>
      </c>
      <c r="H27" s="62">
        <f>+H26</f>
        <v>0</v>
      </c>
      <c r="I27" s="63">
        <f>+I13+I17+I21+I26</f>
        <v>35304000</v>
      </c>
      <c r="J27" s="62">
        <f>+J26</f>
        <v>0</v>
      </c>
      <c r="K27" s="63">
        <f>+K13+K17+K21+K26</f>
        <v>1446059382.0599999</v>
      </c>
      <c r="L27" s="62">
        <f>+L26</f>
        <v>0</v>
      </c>
      <c r="M27" s="63">
        <f>+M13+M17+M21+M26</f>
        <v>5182855.9799999995</v>
      </c>
      <c r="N27" s="62">
        <f>+N26</f>
        <v>0</v>
      </c>
      <c r="O27" s="63">
        <f>+O13+O17+O21+O26</f>
        <v>7258537470.8199997</v>
      </c>
      <c r="P27" s="62">
        <f>+P26</f>
        <v>0</v>
      </c>
      <c r="Q27" s="63">
        <f>+Q13+Q17+Q21+Q26</f>
        <v>104226697.18000001</v>
      </c>
      <c r="R27" s="38"/>
    </row>
    <row r="28" spans="1:18" x14ac:dyDescent="0.25">
      <c r="A28" s="163" t="s">
        <v>39</v>
      </c>
      <c r="B28" s="26"/>
      <c r="C28" s="26"/>
      <c r="D28" s="2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202">
        <f>O13/R13</f>
        <v>0.9858440804564963</v>
      </c>
      <c r="P28" s="202"/>
      <c r="Q28" s="202">
        <f>Q13/R13</f>
        <v>1.4155919543503707E-2</v>
      </c>
      <c r="R28" s="38">
        <f>R13-Nómina!M12</f>
        <v>0</v>
      </c>
    </row>
    <row r="29" spans="1:18" x14ac:dyDescent="0.25">
      <c r="A29" s="276" t="s">
        <v>173</v>
      </c>
      <c r="B29" s="142"/>
      <c r="C29" s="203"/>
      <c r="D29" s="142"/>
      <c r="E29" s="142"/>
      <c r="F29" s="142"/>
      <c r="G29" s="203"/>
      <c r="H29" s="142"/>
      <c r="I29" s="142"/>
      <c r="J29" s="203"/>
      <c r="K29" s="203"/>
      <c r="L29" s="142"/>
      <c r="M29" s="142"/>
      <c r="N29" s="142"/>
      <c r="O29" s="203"/>
      <c r="P29" s="142"/>
      <c r="Q29" s="142"/>
      <c r="R29" s="37"/>
    </row>
    <row r="30" spans="1:18" x14ac:dyDescent="0.25">
      <c r="B30" s="37"/>
      <c r="C30" s="37"/>
    </row>
    <row r="36" spans="1:17" x14ac:dyDescent="0.25">
      <c r="N36" s="37"/>
    </row>
    <row r="43" spans="1:17" x14ac:dyDescent="0.25">
      <c r="N43" s="18"/>
    </row>
    <row r="48" spans="1:17" x14ac:dyDescent="0.25">
      <c r="A48" s="47"/>
      <c r="B48" s="175"/>
      <c r="C48" s="200"/>
      <c r="D48" s="175"/>
      <c r="E48" s="201"/>
      <c r="F48" s="175"/>
      <c r="G48" s="200"/>
      <c r="H48" s="175"/>
      <c r="I48" s="201"/>
      <c r="J48" s="175"/>
      <c r="K48" s="200"/>
      <c r="L48" s="175"/>
      <c r="M48" s="201"/>
      <c r="N48" s="40"/>
      <c r="O48" s="40"/>
      <c r="P48" s="40"/>
      <c r="Q48" s="135"/>
    </row>
    <row r="50" spans="1:17" x14ac:dyDescent="0.25">
      <c r="A50" s="47"/>
      <c r="B50" s="175"/>
      <c r="C50" s="200"/>
      <c r="D50" s="175"/>
      <c r="E50" s="201"/>
      <c r="F50" s="175"/>
      <c r="G50" s="200"/>
      <c r="H50" s="175"/>
      <c r="I50" s="201"/>
      <c r="J50" s="175"/>
      <c r="K50" s="200"/>
      <c r="L50" s="175"/>
      <c r="M50" s="201"/>
      <c r="N50" s="40"/>
      <c r="O50" s="40"/>
      <c r="P50" s="40"/>
      <c r="Q50" s="135"/>
    </row>
  </sheetData>
  <mergeCells count="17">
    <mergeCell ref="A1:Q1"/>
    <mergeCell ref="A2:Q2"/>
    <mergeCell ref="A3:Q3"/>
    <mergeCell ref="A5:Q5"/>
    <mergeCell ref="B7:C7"/>
    <mergeCell ref="D7:E7"/>
    <mergeCell ref="J7:K7"/>
    <mergeCell ref="N6:Q6"/>
    <mergeCell ref="N7:O7"/>
    <mergeCell ref="P7:Q7"/>
    <mergeCell ref="A4:Q4"/>
    <mergeCell ref="F7:G7"/>
    <mergeCell ref="H7:I7"/>
    <mergeCell ref="J6:M6"/>
    <mergeCell ref="B6:E6"/>
    <mergeCell ref="F6:I6"/>
    <mergeCell ref="L7:M7"/>
  </mergeCells>
  <pageMargins left="0.7" right="0.7" top="0.75" bottom="0.75" header="0.3" footer="0.3"/>
  <pageSetup paperSize="9" scale="42" orientation="portrait" r:id="rId1"/>
  <colBreaks count="1" manualBreakCount="1">
    <brk id="17" max="1048575" man="1"/>
  </colBreaks>
  <ignoredErrors>
    <ignoredError sqref="C26 E26 F13" formula="1"/>
    <ignoredError sqref="Q28 O2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9"/>
  <sheetViews>
    <sheetView showGridLines="0" tabSelected="1" topLeftCell="A7" zoomScale="130" zoomScaleNormal="130" workbookViewId="0">
      <selection activeCell="B12" sqref="B12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9" style="1" bestFit="1" customWidth="1"/>
    <col min="4" max="4" width="13.42578125" style="1" bestFit="1" customWidth="1"/>
    <col min="5" max="5" width="12.42578125" style="1" hidden="1" customWidth="1"/>
    <col min="6" max="6" width="8.7109375" style="1" hidden="1" customWidth="1"/>
    <col min="7" max="7" width="0.42578125" style="1" hidden="1" customWidth="1"/>
    <col min="8" max="8" width="11.42578125" style="1" customWidth="1"/>
    <col min="9" max="9" width="14" style="1" bestFit="1" customWidth="1"/>
    <col min="10" max="10" width="13.7109375" style="1" customWidth="1"/>
    <col min="11" max="12" width="10.7109375" style="1" customWidth="1"/>
    <col min="13" max="13" width="14.42578125" style="1" customWidth="1"/>
    <col min="14" max="14" width="11.42578125" style="1" customWidth="1"/>
    <col min="15" max="15" width="20.42578125" style="1" customWidth="1"/>
    <col min="16" max="16" width="35.140625" style="1" customWidth="1"/>
    <col min="17" max="17" width="11.7109375" style="1" bestFit="1" customWidth="1"/>
    <col min="18" max="18" width="18.42578125" style="1" customWidth="1"/>
    <col min="19" max="19" width="16" style="1" bestFit="1" customWidth="1"/>
    <col min="20" max="20" width="11.7109375" style="1" bestFit="1" customWidth="1"/>
    <col min="21" max="16384" width="11.42578125" style="1"/>
  </cols>
  <sheetData>
    <row r="1" spans="1:18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8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8" x14ac:dyDescent="0.25">
      <c r="A3" s="304" t="s">
        <v>161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8" x14ac:dyDescent="0.25">
      <c r="A4" s="304" t="s">
        <v>165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8" x14ac:dyDescent="0.25">
      <c r="A5" s="305" t="s">
        <v>229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8" x14ac:dyDescent="0.25">
      <c r="A6" s="96"/>
      <c r="B6" s="341" t="s">
        <v>225</v>
      </c>
      <c r="C6" s="341"/>
      <c r="D6" s="341"/>
      <c r="E6" s="342" t="s">
        <v>139</v>
      </c>
      <c r="F6" s="342"/>
      <c r="G6" s="342"/>
      <c r="H6" s="340" t="s">
        <v>14</v>
      </c>
      <c r="I6" s="340"/>
      <c r="J6" s="340"/>
      <c r="K6" s="343" t="s">
        <v>15</v>
      </c>
      <c r="L6" s="343"/>
      <c r="M6" s="343"/>
      <c r="N6" s="142"/>
      <c r="O6" s="142"/>
      <c r="P6" s="142"/>
      <c r="Q6" s="142"/>
      <c r="R6" s="142"/>
    </row>
    <row r="7" spans="1:18" ht="39.75" customHeight="1" x14ac:dyDescent="0.25">
      <c r="A7" s="97" t="s">
        <v>1</v>
      </c>
      <c r="B7" s="48" t="s">
        <v>47</v>
      </c>
      <c r="C7" s="48" t="s">
        <v>49</v>
      </c>
      <c r="D7" s="48" t="s">
        <v>18</v>
      </c>
      <c r="E7" s="48" t="s">
        <v>47</v>
      </c>
      <c r="F7" s="48" t="s">
        <v>49</v>
      </c>
      <c r="G7" s="48" t="s">
        <v>18</v>
      </c>
      <c r="H7" s="48" t="s">
        <v>47</v>
      </c>
      <c r="I7" s="48" t="s">
        <v>49</v>
      </c>
      <c r="J7" s="48" t="s">
        <v>18</v>
      </c>
      <c r="K7" s="48" t="s">
        <v>16</v>
      </c>
      <c r="L7" s="48" t="s">
        <v>17</v>
      </c>
      <c r="M7" s="48" t="s">
        <v>18</v>
      </c>
      <c r="N7" s="142"/>
      <c r="O7" s="142"/>
      <c r="P7" s="142"/>
      <c r="Q7" s="142"/>
      <c r="R7" s="142"/>
    </row>
    <row r="8" spans="1:18" ht="15" hidden="1" customHeight="1" x14ac:dyDescent="0.25">
      <c r="A8" s="245" t="s">
        <v>226</v>
      </c>
      <c r="B8" s="232"/>
      <c r="C8" s="232"/>
      <c r="D8" s="134"/>
      <c r="E8" s="244"/>
      <c r="F8" s="244"/>
      <c r="G8" s="244"/>
      <c r="H8" s="238"/>
      <c r="I8" s="206"/>
      <c r="J8" s="64"/>
      <c r="K8" s="246">
        <f>+B8+H8</f>
        <v>0</v>
      </c>
      <c r="L8" s="246">
        <f>+C8+I8</f>
        <v>0</v>
      </c>
      <c r="M8" s="247">
        <f>+D8+J8</f>
        <v>0</v>
      </c>
      <c r="N8" s="142"/>
      <c r="O8" s="142"/>
      <c r="P8" s="142"/>
      <c r="Q8" s="142"/>
      <c r="R8" s="142"/>
    </row>
    <row r="9" spans="1:18" x14ac:dyDescent="0.25">
      <c r="A9" s="47" t="s">
        <v>84</v>
      </c>
      <c r="B9" s="134">
        <v>261</v>
      </c>
      <c r="C9" s="134">
        <v>295</v>
      </c>
      <c r="D9" s="204">
        <v>28233071.699999999</v>
      </c>
      <c r="E9" s="134"/>
      <c r="F9" s="134"/>
      <c r="G9" s="204"/>
      <c r="H9" s="134">
        <v>57</v>
      </c>
      <c r="I9" s="134">
        <v>57</v>
      </c>
      <c r="J9" s="204">
        <v>14406209.869999999</v>
      </c>
      <c r="K9" s="40">
        <f t="shared" ref="K9" si="0">+B9+H9+E9</f>
        <v>318</v>
      </c>
      <c r="L9" s="40">
        <f t="shared" ref="L9" si="1">+C9+I9+F9</f>
        <v>352</v>
      </c>
      <c r="M9" s="40">
        <f t="shared" ref="M9" si="2">+D9+J9+G9</f>
        <v>42639281.57</v>
      </c>
      <c r="N9" s="142"/>
      <c r="O9" s="142"/>
      <c r="P9" s="142"/>
      <c r="Q9" s="142"/>
      <c r="R9" s="142"/>
    </row>
    <row r="10" spans="1:18" x14ac:dyDescent="0.25">
      <c r="A10" s="47" t="s">
        <v>83</v>
      </c>
      <c r="B10" s="134">
        <v>295</v>
      </c>
      <c r="C10" s="134">
        <v>322</v>
      </c>
      <c r="D10" s="204">
        <v>11060569.18</v>
      </c>
      <c r="E10" s="134"/>
      <c r="F10" s="134"/>
      <c r="G10" s="204"/>
      <c r="H10" s="134">
        <v>28</v>
      </c>
      <c r="I10" s="134">
        <v>28</v>
      </c>
      <c r="J10" s="204">
        <v>2419897.14</v>
      </c>
      <c r="K10" s="40">
        <f t="shared" ref="K10:M11" si="3">+B10+H10+E10</f>
        <v>323</v>
      </c>
      <c r="L10" s="40">
        <f t="shared" si="3"/>
        <v>350</v>
      </c>
      <c r="M10" s="40">
        <f t="shared" si="3"/>
        <v>13480466.32</v>
      </c>
      <c r="N10" s="142"/>
      <c r="O10" s="142"/>
      <c r="P10" s="142"/>
      <c r="Q10" s="142"/>
      <c r="R10" s="142"/>
    </row>
    <row r="11" spans="1:18" x14ac:dyDescent="0.25">
      <c r="A11" s="47" t="s">
        <v>82</v>
      </c>
      <c r="B11" s="134">
        <v>277</v>
      </c>
      <c r="C11" s="134">
        <v>304</v>
      </c>
      <c r="D11" s="204">
        <v>20223375.239999998</v>
      </c>
      <c r="E11" s="134"/>
      <c r="F11" s="134"/>
      <c r="G11" s="204"/>
      <c r="H11" s="134">
        <v>70</v>
      </c>
      <c r="I11" s="134">
        <v>70</v>
      </c>
      <c r="J11" s="204">
        <v>11331099.18</v>
      </c>
      <c r="K11" s="40">
        <f t="shared" si="3"/>
        <v>347</v>
      </c>
      <c r="L11" s="40">
        <f t="shared" si="3"/>
        <v>374</v>
      </c>
      <c r="M11" s="40">
        <f t="shared" si="3"/>
        <v>31554474.419999998</v>
      </c>
      <c r="N11" s="142"/>
      <c r="O11" s="142"/>
      <c r="P11" s="142"/>
      <c r="Q11" s="142"/>
      <c r="R11" s="142"/>
    </row>
    <row r="12" spans="1:18" x14ac:dyDescent="0.25">
      <c r="A12" s="49" t="s">
        <v>91</v>
      </c>
      <c r="B12" s="42">
        <f t="shared" ref="B12:M12" si="4">SUM(B9:B11)</f>
        <v>833</v>
      </c>
      <c r="C12" s="42">
        <f t="shared" si="4"/>
        <v>921</v>
      </c>
      <c r="D12" s="42">
        <f t="shared" si="4"/>
        <v>59517016.11999999</v>
      </c>
      <c r="E12" s="42">
        <f t="shared" si="4"/>
        <v>0</v>
      </c>
      <c r="F12" s="42">
        <f t="shared" si="4"/>
        <v>0</v>
      </c>
      <c r="G12" s="42">
        <f t="shared" si="4"/>
        <v>0</v>
      </c>
      <c r="H12" s="248">
        <f t="shared" si="4"/>
        <v>155</v>
      </c>
      <c r="I12" s="248">
        <f t="shared" si="4"/>
        <v>155</v>
      </c>
      <c r="J12" s="42">
        <f t="shared" si="4"/>
        <v>28157206.189999998</v>
      </c>
      <c r="K12" s="42">
        <f t="shared" si="4"/>
        <v>988</v>
      </c>
      <c r="L12" s="42">
        <f t="shared" si="4"/>
        <v>1076</v>
      </c>
      <c r="M12" s="42">
        <f t="shared" si="4"/>
        <v>87674222.310000002</v>
      </c>
      <c r="N12" s="142"/>
      <c r="O12" s="142"/>
      <c r="P12" s="142"/>
      <c r="Q12" s="142"/>
      <c r="R12" s="142"/>
    </row>
    <row r="13" spans="1:18" hidden="1" x14ac:dyDescent="0.25">
      <c r="A13" s="47" t="s">
        <v>34</v>
      </c>
      <c r="B13" s="134"/>
      <c r="C13" s="134"/>
      <c r="D13" s="204"/>
      <c r="E13" s="134"/>
      <c r="F13" s="134"/>
      <c r="G13" s="204"/>
      <c r="H13" s="134"/>
      <c r="I13" s="134"/>
      <c r="J13" s="204"/>
      <c r="K13" s="39">
        <f t="shared" ref="K13:M15" si="5">+B13+H13+E13</f>
        <v>0</v>
      </c>
      <c r="L13" s="39">
        <f t="shared" si="5"/>
        <v>0</v>
      </c>
      <c r="M13" s="69">
        <f t="shared" si="5"/>
        <v>0</v>
      </c>
      <c r="N13" s="142"/>
      <c r="O13" s="142"/>
      <c r="P13" s="142"/>
      <c r="Q13" s="142"/>
      <c r="R13" s="142"/>
    </row>
    <row r="14" spans="1:18" hidden="1" x14ac:dyDescent="0.25">
      <c r="A14" s="47" t="s">
        <v>35</v>
      </c>
      <c r="B14" s="134"/>
      <c r="C14" s="134"/>
      <c r="D14" s="204"/>
      <c r="E14" s="134"/>
      <c r="F14" s="134"/>
      <c r="G14" s="204"/>
      <c r="H14" s="134"/>
      <c r="I14" s="134"/>
      <c r="J14" s="204"/>
      <c r="K14" s="39">
        <f t="shared" si="5"/>
        <v>0</v>
      </c>
      <c r="L14" s="39">
        <f t="shared" si="5"/>
        <v>0</v>
      </c>
      <c r="M14" s="69">
        <f t="shared" si="5"/>
        <v>0</v>
      </c>
      <c r="N14" s="142"/>
      <c r="O14" s="142"/>
      <c r="P14" s="142"/>
      <c r="Q14" s="142"/>
      <c r="R14" s="142"/>
    </row>
    <row r="15" spans="1:18" hidden="1" x14ac:dyDescent="0.25">
      <c r="A15" s="47" t="s">
        <v>36</v>
      </c>
      <c r="B15" s="134"/>
      <c r="C15" s="134"/>
      <c r="D15" s="204"/>
      <c r="E15" s="134"/>
      <c r="F15" s="134"/>
      <c r="G15" s="204"/>
      <c r="H15" s="134"/>
      <c r="I15" s="134"/>
      <c r="J15" s="204"/>
      <c r="K15" s="39">
        <f t="shared" si="5"/>
        <v>0</v>
      </c>
      <c r="L15" s="39">
        <f t="shared" si="5"/>
        <v>0</v>
      </c>
      <c r="M15" s="69">
        <f t="shared" si="5"/>
        <v>0</v>
      </c>
      <c r="N15" s="142"/>
      <c r="O15" s="142"/>
      <c r="P15" s="142"/>
      <c r="Q15" s="142"/>
      <c r="R15" s="142"/>
    </row>
    <row r="16" spans="1:18" hidden="1" x14ac:dyDescent="0.25">
      <c r="A16" s="29" t="s">
        <v>129</v>
      </c>
      <c r="B16" s="41">
        <f t="shared" ref="B16:M16" si="6">SUM(B13:B15)</f>
        <v>0</v>
      </c>
      <c r="C16" s="41">
        <f t="shared" si="6"/>
        <v>0</v>
      </c>
      <c r="D16" s="41">
        <f t="shared" si="6"/>
        <v>0</v>
      </c>
      <c r="E16" s="41">
        <f t="shared" ref="E16:J16" si="7">SUM(E13:E15)</f>
        <v>0</v>
      </c>
      <c r="F16" s="41">
        <f t="shared" si="7"/>
        <v>0</v>
      </c>
      <c r="G16" s="41">
        <f t="shared" si="7"/>
        <v>0</v>
      </c>
      <c r="H16" s="41">
        <f t="shared" si="7"/>
        <v>0</v>
      </c>
      <c r="I16" s="41">
        <f t="shared" si="7"/>
        <v>0</v>
      </c>
      <c r="J16" s="41">
        <f t="shared" si="7"/>
        <v>0</v>
      </c>
      <c r="K16" s="41">
        <f t="shared" si="6"/>
        <v>0</v>
      </c>
      <c r="L16" s="41">
        <f t="shared" si="6"/>
        <v>0</v>
      </c>
      <c r="M16" s="41">
        <f t="shared" si="6"/>
        <v>0</v>
      </c>
      <c r="N16" s="142"/>
      <c r="O16" s="142"/>
      <c r="P16" s="142"/>
      <c r="Q16" s="142"/>
      <c r="R16" s="142"/>
    </row>
    <row r="17" spans="1:20" hidden="1" x14ac:dyDescent="0.25">
      <c r="A17" s="47" t="s">
        <v>85</v>
      </c>
      <c r="B17" s="134"/>
      <c r="C17" s="134"/>
      <c r="D17" s="204"/>
      <c r="E17" s="134"/>
      <c r="F17" s="134"/>
      <c r="G17" s="204"/>
      <c r="H17" s="134"/>
      <c r="I17" s="134"/>
      <c r="J17" s="204"/>
      <c r="K17" s="39">
        <f t="shared" ref="K17:M19" si="8">+B17+H17+E17</f>
        <v>0</v>
      </c>
      <c r="L17" s="39">
        <f t="shared" si="8"/>
        <v>0</v>
      </c>
      <c r="M17" s="69">
        <f t="shared" si="8"/>
        <v>0</v>
      </c>
      <c r="N17" s="142"/>
      <c r="O17" s="142"/>
      <c r="P17" s="142"/>
      <c r="Q17" s="142"/>
      <c r="R17" s="142"/>
    </row>
    <row r="18" spans="1:20" hidden="1" x14ac:dyDescent="0.25">
      <c r="A18" s="47" t="s">
        <v>86</v>
      </c>
      <c r="B18" s="134"/>
      <c r="C18" s="134"/>
      <c r="D18" s="204"/>
      <c r="E18" s="134"/>
      <c r="F18" s="134"/>
      <c r="G18" s="204"/>
      <c r="H18" s="134"/>
      <c r="I18" s="134"/>
      <c r="J18" s="204"/>
      <c r="K18" s="39">
        <f t="shared" si="8"/>
        <v>0</v>
      </c>
      <c r="L18" s="39">
        <f t="shared" si="8"/>
        <v>0</v>
      </c>
      <c r="M18" s="69">
        <f t="shared" si="8"/>
        <v>0</v>
      </c>
      <c r="N18" s="142"/>
      <c r="O18" s="142"/>
      <c r="P18" s="142"/>
      <c r="Q18" s="142"/>
      <c r="R18" s="142"/>
    </row>
    <row r="19" spans="1:20" hidden="1" x14ac:dyDescent="0.25">
      <c r="A19" s="47" t="s">
        <v>87</v>
      </c>
      <c r="B19" s="134"/>
      <c r="C19" s="134"/>
      <c r="D19" s="204"/>
      <c r="E19" s="134"/>
      <c r="F19" s="134"/>
      <c r="G19" s="204"/>
      <c r="H19" s="134"/>
      <c r="I19" s="134"/>
      <c r="J19" s="204"/>
      <c r="K19" s="39">
        <f t="shared" si="8"/>
        <v>0</v>
      </c>
      <c r="L19" s="39">
        <f t="shared" si="8"/>
        <v>0</v>
      </c>
      <c r="M19" s="69">
        <f t="shared" si="8"/>
        <v>0</v>
      </c>
      <c r="N19" s="142"/>
      <c r="O19" s="142"/>
      <c r="P19" s="142"/>
      <c r="Q19" s="142"/>
      <c r="R19" s="142"/>
    </row>
    <row r="20" spans="1:20" hidden="1" x14ac:dyDescent="0.25">
      <c r="A20" s="29" t="s">
        <v>92</v>
      </c>
      <c r="B20" s="41">
        <f t="shared" ref="B20:D20" si="9">SUM(B17:B19)</f>
        <v>0</v>
      </c>
      <c r="C20" s="41">
        <f t="shared" si="9"/>
        <v>0</v>
      </c>
      <c r="D20" s="41">
        <f t="shared" si="9"/>
        <v>0</v>
      </c>
      <c r="E20" s="41">
        <f t="shared" ref="E20:M20" si="10">SUM(E17:E19)</f>
        <v>0</v>
      </c>
      <c r="F20" s="41">
        <f t="shared" si="10"/>
        <v>0</v>
      </c>
      <c r="G20" s="41">
        <f t="shared" si="10"/>
        <v>0</v>
      </c>
      <c r="H20" s="41">
        <f>SUM(H17:H19)</f>
        <v>0</v>
      </c>
      <c r="I20" s="41">
        <f>SUM(I17:I19)</f>
        <v>0</v>
      </c>
      <c r="J20" s="41">
        <f>SUM(J17:J19)</f>
        <v>0</v>
      </c>
      <c r="K20" s="41">
        <f t="shared" si="10"/>
        <v>0</v>
      </c>
      <c r="L20" s="41">
        <f t="shared" si="10"/>
        <v>0</v>
      </c>
      <c r="M20" s="41">
        <f t="shared" si="10"/>
        <v>0</v>
      </c>
      <c r="N20" s="142"/>
      <c r="O20" s="142"/>
      <c r="P20" s="142"/>
      <c r="Q20" s="142"/>
      <c r="R20" s="142"/>
    </row>
    <row r="21" spans="1:20" hidden="1" x14ac:dyDescent="0.25">
      <c r="A21" s="47" t="s">
        <v>88</v>
      </c>
      <c r="B21" s="134"/>
      <c r="C21" s="134"/>
      <c r="D21" s="204"/>
      <c r="E21" s="134"/>
      <c r="F21" s="134"/>
      <c r="G21" s="204"/>
      <c r="H21" s="134"/>
      <c r="I21" s="134"/>
      <c r="J21" s="204"/>
      <c r="K21" s="39">
        <f t="shared" ref="K21:M23" si="11">+B21+H21+E21</f>
        <v>0</v>
      </c>
      <c r="L21" s="39">
        <f t="shared" si="11"/>
        <v>0</v>
      </c>
      <c r="M21" s="69">
        <f t="shared" si="11"/>
        <v>0</v>
      </c>
      <c r="N21" s="142"/>
      <c r="O21" s="142"/>
      <c r="P21" s="142"/>
      <c r="Q21" s="142"/>
      <c r="R21" s="142"/>
    </row>
    <row r="22" spans="1:20" hidden="1" x14ac:dyDescent="0.25">
      <c r="A22" s="47" t="s">
        <v>89</v>
      </c>
      <c r="B22" s="134"/>
      <c r="C22" s="134"/>
      <c r="D22" s="204"/>
      <c r="E22" s="134"/>
      <c r="F22" s="134"/>
      <c r="G22" s="204"/>
      <c r="H22" s="134"/>
      <c r="I22" s="134"/>
      <c r="J22" s="204"/>
      <c r="K22" s="39">
        <f t="shared" si="11"/>
        <v>0</v>
      </c>
      <c r="L22" s="39">
        <f t="shared" si="11"/>
        <v>0</v>
      </c>
      <c r="M22" s="69">
        <f t="shared" si="11"/>
        <v>0</v>
      </c>
      <c r="N22" s="142"/>
      <c r="O22" s="142"/>
      <c r="P22" s="142"/>
      <c r="Q22" s="142"/>
      <c r="R22" s="142"/>
    </row>
    <row r="23" spans="1:20" hidden="1" x14ac:dyDescent="0.25">
      <c r="A23" s="47" t="s">
        <v>127</v>
      </c>
      <c r="B23" s="134"/>
      <c r="C23" s="134"/>
      <c r="D23" s="204"/>
      <c r="E23" s="134"/>
      <c r="F23" s="134"/>
      <c r="G23" s="204"/>
      <c r="H23" s="134"/>
      <c r="I23" s="134"/>
      <c r="J23" s="204"/>
      <c r="K23" s="39">
        <f t="shared" si="11"/>
        <v>0</v>
      </c>
      <c r="L23" s="39">
        <f t="shared" si="11"/>
        <v>0</v>
      </c>
      <c r="M23" s="69">
        <f t="shared" si="11"/>
        <v>0</v>
      </c>
      <c r="N23" s="142"/>
      <c r="O23" s="142"/>
      <c r="P23" s="142"/>
      <c r="Q23" s="142"/>
      <c r="R23" s="142"/>
    </row>
    <row r="24" spans="1:20" hidden="1" x14ac:dyDescent="0.25">
      <c r="A24" s="29" t="s">
        <v>93</v>
      </c>
      <c r="B24" s="41">
        <f t="shared" ref="B24:M24" si="12">SUM(B21:B23)</f>
        <v>0</v>
      </c>
      <c r="C24" s="41">
        <f t="shared" si="12"/>
        <v>0</v>
      </c>
      <c r="D24" s="41">
        <f t="shared" si="12"/>
        <v>0</v>
      </c>
      <c r="E24" s="41">
        <f t="shared" ref="E24:J24" si="13">SUM(E21:E23)</f>
        <v>0</v>
      </c>
      <c r="F24" s="41">
        <f t="shared" si="13"/>
        <v>0</v>
      </c>
      <c r="G24" s="41">
        <f t="shared" si="13"/>
        <v>0</v>
      </c>
      <c r="H24" s="41">
        <f t="shared" si="13"/>
        <v>0</v>
      </c>
      <c r="I24" s="41">
        <f t="shared" si="13"/>
        <v>0</v>
      </c>
      <c r="J24" s="41">
        <f t="shared" si="13"/>
        <v>0</v>
      </c>
      <c r="K24" s="41">
        <f t="shared" si="12"/>
        <v>0</v>
      </c>
      <c r="L24" s="41">
        <f t="shared" si="12"/>
        <v>0</v>
      </c>
      <c r="M24" s="41">
        <f t="shared" si="12"/>
        <v>0</v>
      </c>
      <c r="N24" s="142"/>
      <c r="O24" s="142"/>
      <c r="P24" s="142"/>
      <c r="Q24" s="142"/>
      <c r="R24" s="142"/>
    </row>
    <row r="25" spans="1:20" hidden="1" x14ac:dyDescent="0.25">
      <c r="A25" s="75" t="s">
        <v>9</v>
      </c>
      <c r="B25" s="43">
        <f t="shared" ref="B25:K25" si="14">+B12+B16+B20+B24</f>
        <v>833</v>
      </c>
      <c r="C25" s="43">
        <f t="shared" si="14"/>
        <v>921</v>
      </c>
      <c r="D25" s="43">
        <f t="shared" si="14"/>
        <v>59517016.11999999</v>
      </c>
      <c r="E25" s="43">
        <f t="shared" si="14"/>
        <v>0</v>
      </c>
      <c r="F25" s="43">
        <f t="shared" si="14"/>
        <v>0</v>
      </c>
      <c r="G25" s="43">
        <f t="shared" si="14"/>
        <v>0</v>
      </c>
      <c r="H25" s="43">
        <f t="shared" si="14"/>
        <v>155</v>
      </c>
      <c r="I25" s="43">
        <f t="shared" si="14"/>
        <v>155</v>
      </c>
      <c r="J25" s="43">
        <f t="shared" si="14"/>
        <v>28157206.189999998</v>
      </c>
      <c r="K25" s="43">
        <f t="shared" si="14"/>
        <v>988</v>
      </c>
      <c r="L25" s="43">
        <f t="shared" ref="L25:M25" si="15">+L12+L16+L20+L24</f>
        <v>1076</v>
      </c>
      <c r="M25" s="43">
        <f t="shared" si="15"/>
        <v>87674222.310000002</v>
      </c>
      <c r="N25" s="142"/>
      <c r="O25" s="142"/>
      <c r="P25" s="142"/>
      <c r="Q25" s="142"/>
      <c r="R25" s="142"/>
    </row>
    <row r="26" spans="1:20" hidden="1" x14ac:dyDescent="0.25">
      <c r="A26" s="207" t="s">
        <v>128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</row>
    <row r="27" spans="1:20" x14ac:dyDescent="0.25">
      <c r="A27" s="276" t="s">
        <v>173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</row>
    <row r="28" spans="1:20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</row>
    <row r="29" spans="1:20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203"/>
      <c r="O29" s="142"/>
      <c r="P29" s="142"/>
      <c r="Q29" s="142"/>
      <c r="R29" s="142"/>
    </row>
    <row r="30" spans="1:20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203"/>
      <c r="O30" s="142"/>
      <c r="P30" s="142"/>
      <c r="Q30" s="142"/>
      <c r="R30" s="142"/>
    </row>
    <row r="31" spans="1:20" x14ac:dyDescent="0.25">
      <c r="A31" s="47"/>
      <c r="B31" s="175"/>
      <c r="C31" s="175"/>
      <c r="D31" s="134"/>
      <c r="E31" s="134"/>
      <c r="F31" s="134"/>
      <c r="G31" s="204"/>
      <c r="H31" s="205"/>
      <c r="I31" s="206"/>
      <c r="J31" s="134"/>
      <c r="K31" s="40"/>
      <c r="L31" s="40"/>
      <c r="M31" s="40"/>
    </row>
    <row r="32" spans="1:20" x14ac:dyDescent="0.25">
      <c r="N32" s="38"/>
      <c r="Q32" s="55"/>
      <c r="R32" s="67"/>
      <c r="S32" s="56"/>
      <c r="T32" s="68"/>
    </row>
    <row r="33" spans="1:20" x14ac:dyDescent="0.25">
      <c r="A33" s="47"/>
      <c r="B33" s="175"/>
      <c r="C33" s="175"/>
      <c r="D33" s="134"/>
      <c r="E33" s="134"/>
      <c r="F33" s="134"/>
      <c r="G33" s="204"/>
      <c r="H33" s="205"/>
      <c r="I33" s="206"/>
      <c r="J33" s="134"/>
      <c r="K33" s="40"/>
      <c r="L33" s="40"/>
      <c r="M33" s="40"/>
      <c r="Q33" s="55"/>
      <c r="R33" s="67"/>
      <c r="S33" s="56"/>
      <c r="T33" s="68"/>
    </row>
    <row r="34" spans="1:20" x14ac:dyDescent="0.25">
      <c r="Q34" s="55"/>
      <c r="R34" s="67"/>
      <c r="S34" s="56"/>
      <c r="T34" s="68"/>
    </row>
    <row r="35" spans="1:20" x14ac:dyDescent="0.25">
      <c r="Q35" s="55"/>
      <c r="R35" s="67"/>
      <c r="S35" s="56"/>
      <c r="T35" s="68"/>
    </row>
    <row r="36" spans="1:20" x14ac:dyDescent="0.25">
      <c r="Q36" s="55"/>
      <c r="R36" s="67"/>
      <c r="S36" s="56"/>
      <c r="T36" s="68"/>
    </row>
    <row r="37" spans="1:20" x14ac:dyDescent="0.25">
      <c r="Q37" s="55"/>
      <c r="R37" s="67"/>
      <c r="S37" s="56"/>
      <c r="T37" s="68"/>
    </row>
    <row r="38" spans="1:20" x14ac:dyDescent="0.25">
      <c r="Q38" s="55"/>
      <c r="R38" s="67"/>
      <c r="S38" s="56"/>
      <c r="T38" s="68"/>
    </row>
    <row r="39" spans="1:20" x14ac:dyDescent="0.25">
      <c r="Q39" s="55"/>
      <c r="R39" s="67"/>
      <c r="S39" s="56"/>
      <c r="T39" s="68"/>
    </row>
  </sheetData>
  <mergeCells count="9"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72" orientation="portrait" r:id="rId1"/>
  <rowBreaks count="1" manualBreakCount="1">
    <brk id="45" max="9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304" t="s">
        <v>6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</row>
    <row r="3" spans="1:9" x14ac:dyDescent="0.25">
      <c r="A3" s="304" t="s">
        <v>166</v>
      </c>
      <c r="B3" s="304"/>
      <c r="C3" s="304"/>
      <c r="D3" s="304"/>
      <c r="E3" s="304"/>
      <c r="F3" s="304"/>
      <c r="G3" s="304"/>
      <c r="H3" s="304"/>
      <c r="I3" s="304"/>
    </row>
    <row r="4" spans="1:9" x14ac:dyDescent="0.25">
      <c r="A4" s="304" t="s">
        <v>215</v>
      </c>
      <c r="B4" s="304"/>
      <c r="C4" s="304"/>
      <c r="D4" s="304"/>
      <c r="E4" s="304"/>
      <c r="F4" s="304"/>
      <c r="G4" s="304"/>
      <c r="H4" s="304"/>
      <c r="I4" s="304"/>
    </row>
    <row r="5" spans="1:9" x14ac:dyDescent="0.25">
      <c r="A5" s="305" t="s">
        <v>164</v>
      </c>
      <c r="B5" s="305"/>
      <c r="C5" s="305"/>
      <c r="D5" s="305"/>
      <c r="E5" s="305"/>
      <c r="F5" s="305"/>
      <c r="G5" s="305"/>
      <c r="H5" s="305"/>
      <c r="I5" s="305"/>
    </row>
    <row r="6" spans="1:9" x14ac:dyDescent="0.25">
      <c r="A6" s="96"/>
      <c r="B6" s="341" t="s">
        <v>13</v>
      </c>
      <c r="C6" s="341"/>
      <c r="D6" s="340" t="s">
        <v>14</v>
      </c>
      <c r="E6" s="340"/>
      <c r="F6" s="342" t="s">
        <v>139</v>
      </c>
      <c r="G6" s="342"/>
      <c r="H6" s="343" t="s">
        <v>15</v>
      </c>
      <c r="I6" s="343"/>
    </row>
    <row r="7" spans="1:9" ht="34.5" customHeight="1" x14ac:dyDescent="0.25">
      <c r="A7" s="97" t="s">
        <v>1</v>
      </c>
      <c r="B7" s="48" t="s">
        <v>167</v>
      </c>
      <c r="C7" s="48" t="s">
        <v>18</v>
      </c>
      <c r="D7" s="48" t="s">
        <v>167</v>
      </c>
      <c r="E7" s="48" t="s">
        <v>18</v>
      </c>
      <c r="F7" s="48" t="s">
        <v>167</v>
      </c>
      <c r="G7" s="48" t="s">
        <v>18</v>
      </c>
      <c r="H7" s="48" t="s">
        <v>167</v>
      </c>
      <c r="I7" s="48" t="s">
        <v>18</v>
      </c>
    </row>
    <row r="8" spans="1:9" x14ac:dyDescent="0.25">
      <c r="A8" s="47" t="s">
        <v>34</v>
      </c>
      <c r="B8" s="34">
        <v>0</v>
      </c>
      <c r="C8" s="64">
        <v>0</v>
      </c>
      <c r="D8" s="34">
        <v>0</v>
      </c>
      <c r="E8" s="64">
        <v>0</v>
      </c>
      <c r="F8" s="34">
        <v>0</v>
      </c>
      <c r="G8" s="64">
        <v>0</v>
      </c>
      <c r="H8" s="39">
        <f t="shared" ref="H8:I10" si="0">+B8+D8+F8</f>
        <v>0</v>
      </c>
      <c r="I8" s="69">
        <f t="shared" si="0"/>
        <v>0</v>
      </c>
    </row>
    <row r="9" spans="1:9" x14ac:dyDescent="0.25">
      <c r="A9" s="47" t="s">
        <v>35</v>
      </c>
      <c r="B9" s="34">
        <f>4+28+31</f>
        <v>63</v>
      </c>
      <c r="C9" s="64">
        <f>30992+216880.44+240467.76</f>
        <v>488340.2</v>
      </c>
      <c r="D9" s="34">
        <v>3</v>
      </c>
      <c r="E9" s="64">
        <v>224872.69</v>
      </c>
      <c r="F9" s="34">
        <f>2+12</f>
        <v>14</v>
      </c>
      <c r="G9" s="64">
        <f>12000+72000</f>
        <v>84000</v>
      </c>
      <c r="H9" s="39">
        <f t="shared" si="0"/>
        <v>80</v>
      </c>
      <c r="I9" s="69">
        <f t="shared" si="0"/>
        <v>797212.89</v>
      </c>
    </row>
    <row r="10" spans="1:9" x14ac:dyDescent="0.25">
      <c r="A10" s="47" t="s">
        <v>36</v>
      </c>
      <c r="B10" s="34">
        <v>1413</v>
      </c>
      <c r="C10" s="64">
        <v>11172621.32</v>
      </c>
      <c r="D10" s="34">
        <v>34</v>
      </c>
      <c r="E10" s="64">
        <v>278309.3</v>
      </c>
      <c r="F10" s="34">
        <v>1549</v>
      </c>
      <c r="G10" s="64">
        <v>9294000</v>
      </c>
      <c r="H10" s="39">
        <f t="shared" si="0"/>
        <v>2996</v>
      </c>
      <c r="I10" s="39">
        <f t="shared" si="0"/>
        <v>20744930.620000001</v>
      </c>
    </row>
    <row r="11" spans="1:9" x14ac:dyDescent="0.25">
      <c r="A11" s="29" t="s">
        <v>129</v>
      </c>
      <c r="B11" s="41">
        <f t="shared" ref="B11:I11" si="1">SUM(B8:B10)</f>
        <v>1476</v>
      </c>
      <c r="C11" s="41">
        <f t="shared" si="1"/>
        <v>11660961.52</v>
      </c>
      <c r="D11" s="41">
        <f t="shared" si="1"/>
        <v>37</v>
      </c>
      <c r="E11" s="41">
        <f t="shared" si="1"/>
        <v>503181.99</v>
      </c>
      <c r="F11" s="41">
        <f>SUM(F8:F10)</f>
        <v>1563</v>
      </c>
      <c r="G11" s="41">
        <f t="shared" ref="G11" si="2">SUM(G8:G10)</f>
        <v>9378000</v>
      </c>
      <c r="H11" s="41">
        <f>SUM(H8:H10)</f>
        <v>3076</v>
      </c>
      <c r="I11" s="41">
        <f t="shared" si="1"/>
        <v>21542143.510000002</v>
      </c>
    </row>
    <row r="12" spans="1:9" hidden="1" x14ac:dyDescent="0.25">
      <c r="A12" s="47" t="s">
        <v>34</v>
      </c>
      <c r="B12" s="34"/>
      <c r="C12" s="64"/>
      <c r="D12" s="34"/>
      <c r="E12" s="64"/>
      <c r="F12" s="34"/>
      <c r="G12" s="64"/>
      <c r="H12" s="39">
        <f t="shared" ref="H12:I14" si="3">+B12+D12+F12</f>
        <v>0</v>
      </c>
      <c r="I12" s="69">
        <f t="shared" si="3"/>
        <v>0</v>
      </c>
    </row>
    <row r="13" spans="1:9" hidden="1" x14ac:dyDescent="0.25">
      <c r="A13" s="47" t="s">
        <v>35</v>
      </c>
      <c r="B13" s="34"/>
      <c r="C13" s="64"/>
      <c r="D13" s="34"/>
      <c r="E13" s="64"/>
      <c r="F13" s="34"/>
      <c r="G13" s="64"/>
      <c r="H13" s="39">
        <f t="shared" si="3"/>
        <v>0</v>
      </c>
      <c r="I13" s="69">
        <f t="shared" si="3"/>
        <v>0</v>
      </c>
    </row>
    <row r="14" spans="1:9" hidden="1" x14ac:dyDescent="0.25">
      <c r="A14" s="47" t="s">
        <v>36</v>
      </c>
      <c r="B14" s="34"/>
      <c r="C14" s="64"/>
      <c r="D14" s="34"/>
      <c r="E14" s="64"/>
      <c r="F14" s="34"/>
      <c r="G14" s="64"/>
      <c r="H14" s="39">
        <f t="shared" si="3"/>
        <v>0</v>
      </c>
      <c r="I14" s="69">
        <f t="shared" si="3"/>
        <v>0</v>
      </c>
    </row>
    <row r="15" spans="1:9" hidden="1" x14ac:dyDescent="0.25">
      <c r="A15" s="29" t="s">
        <v>129</v>
      </c>
      <c r="B15" s="41">
        <f t="shared" ref="B15:I15" si="4">SUM(B12:B14)</f>
        <v>0</v>
      </c>
      <c r="C15" s="41">
        <f t="shared" si="4"/>
        <v>0</v>
      </c>
      <c r="D15" s="41">
        <f t="shared" si="4"/>
        <v>0</v>
      </c>
      <c r="E15" s="41">
        <f t="shared" si="4"/>
        <v>0</v>
      </c>
      <c r="F15" s="41">
        <f t="shared" ref="F15:G15" si="5">SUM(F12:F14)</f>
        <v>0</v>
      </c>
      <c r="G15" s="41">
        <f t="shared" si="5"/>
        <v>0</v>
      </c>
      <c r="H15" s="41">
        <f t="shared" si="4"/>
        <v>0</v>
      </c>
      <c r="I15" s="41">
        <f t="shared" si="4"/>
        <v>0</v>
      </c>
    </row>
    <row r="16" spans="1:9" hidden="1" x14ac:dyDescent="0.25">
      <c r="A16" s="47" t="s">
        <v>85</v>
      </c>
      <c r="B16" s="34"/>
      <c r="C16" s="64"/>
      <c r="D16" s="34"/>
      <c r="E16" s="64"/>
      <c r="F16" s="34"/>
      <c r="G16" s="64"/>
      <c r="H16" s="39">
        <f t="shared" ref="H16:I18" si="6">+B16+D16+F16</f>
        <v>0</v>
      </c>
      <c r="I16" s="69">
        <f t="shared" si="6"/>
        <v>0</v>
      </c>
    </row>
    <row r="17" spans="1:16" hidden="1" x14ac:dyDescent="0.25">
      <c r="A17" s="47" t="s">
        <v>86</v>
      </c>
      <c r="B17" s="34"/>
      <c r="C17" s="64"/>
      <c r="D17" s="34"/>
      <c r="E17" s="64"/>
      <c r="F17" s="34"/>
      <c r="G17" s="64"/>
      <c r="H17" s="39">
        <f t="shared" si="6"/>
        <v>0</v>
      </c>
      <c r="I17" s="69">
        <f t="shared" si="6"/>
        <v>0</v>
      </c>
    </row>
    <row r="18" spans="1:16" hidden="1" x14ac:dyDescent="0.25">
      <c r="A18" s="47" t="s">
        <v>87</v>
      </c>
      <c r="B18" s="34"/>
      <c r="C18" s="64"/>
      <c r="D18" s="34"/>
      <c r="E18" s="64"/>
      <c r="F18" s="34"/>
      <c r="G18" s="64"/>
      <c r="H18" s="39">
        <f t="shared" si="6"/>
        <v>0</v>
      </c>
      <c r="I18" s="69">
        <f t="shared" si="6"/>
        <v>0</v>
      </c>
    </row>
    <row r="19" spans="1:16" hidden="1" x14ac:dyDescent="0.25">
      <c r="A19" s="29" t="s">
        <v>92</v>
      </c>
      <c r="B19" s="41">
        <f t="shared" ref="B19:E19" si="7">SUM(B16:B18)</f>
        <v>0</v>
      </c>
      <c r="C19" s="41">
        <f t="shared" si="7"/>
        <v>0</v>
      </c>
      <c r="D19" s="41">
        <f t="shared" si="7"/>
        <v>0</v>
      </c>
      <c r="E19" s="41">
        <f t="shared" si="7"/>
        <v>0</v>
      </c>
      <c r="F19" s="41">
        <f t="shared" ref="F19:G19" si="8">SUM(F16:F18)</f>
        <v>0</v>
      </c>
      <c r="G19" s="41">
        <f t="shared" si="8"/>
        <v>0</v>
      </c>
      <c r="H19" s="41">
        <f>SUM(H16:H18)</f>
        <v>0</v>
      </c>
      <c r="I19" s="41">
        <f>SUM(I16:I18)</f>
        <v>0</v>
      </c>
    </row>
    <row r="20" spans="1:16" hidden="1" x14ac:dyDescent="0.25">
      <c r="A20" s="33" t="s">
        <v>88</v>
      </c>
      <c r="B20" s="34"/>
      <c r="C20" s="64"/>
      <c r="D20" s="34"/>
      <c r="E20" s="64"/>
      <c r="F20" s="34"/>
      <c r="G20" s="64"/>
      <c r="H20" s="39">
        <f t="shared" ref="H20:I22" si="9">+B20+D20+F20</f>
        <v>0</v>
      </c>
      <c r="I20" s="69">
        <f t="shared" si="9"/>
        <v>0</v>
      </c>
    </row>
    <row r="21" spans="1:16" hidden="1" x14ac:dyDescent="0.25">
      <c r="A21" s="33" t="s">
        <v>89</v>
      </c>
      <c r="B21" s="34"/>
      <c r="C21" s="64"/>
      <c r="D21" s="34"/>
      <c r="E21" s="64"/>
      <c r="F21" s="34"/>
      <c r="G21" s="64"/>
      <c r="H21" s="39">
        <f t="shared" si="9"/>
        <v>0</v>
      </c>
      <c r="I21" s="69">
        <f t="shared" si="9"/>
        <v>0</v>
      </c>
    </row>
    <row r="22" spans="1:16" hidden="1" x14ac:dyDescent="0.25">
      <c r="A22" s="33" t="s">
        <v>90</v>
      </c>
      <c r="B22" s="34"/>
      <c r="C22" s="64"/>
      <c r="D22" s="34"/>
      <c r="E22" s="64"/>
      <c r="F22" s="34"/>
      <c r="G22" s="64"/>
      <c r="H22" s="39">
        <f t="shared" si="9"/>
        <v>0</v>
      </c>
      <c r="I22" s="69">
        <f t="shared" si="9"/>
        <v>0</v>
      </c>
    </row>
    <row r="23" spans="1:16" hidden="1" x14ac:dyDescent="0.25">
      <c r="A23" s="12" t="s">
        <v>93</v>
      </c>
      <c r="B23" s="41">
        <f t="shared" ref="B23:I23" si="10">SUM(B20:B22)</f>
        <v>0</v>
      </c>
      <c r="C23" s="41">
        <f t="shared" si="10"/>
        <v>0</v>
      </c>
      <c r="D23" s="41">
        <f t="shared" si="10"/>
        <v>0</v>
      </c>
      <c r="E23" s="41">
        <f t="shared" si="10"/>
        <v>0</v>
      </c>
      <c r="F23" s="41">
        <f t="shared" ref="F23:G23" si="11">SUM(F20:F22)</f>
        <v>0</v>
      </c>
      <c r="G23" s="41">
        <f t="shared" si="11"/>
        <v>0</v>
      </c>
      <c r="H23" s="41">
        <f t="shared" si="10"/>
        <v>0</v>
      </c>
      <c r="I23" s="41">
        <f t="shared" si="10"/>
        <v>0</v>
      </c>
    </row>
    <row r="24" spans="1:16" hidden="1" x14ac:dyDescent="0.25">
      <c r="A24" s="65" t="s">
        <v>9</v>
      </c>
      <c r="B24" s="43">
        <f>+B11+B15+B19+B23</f>
        <v>1476</v>
      </c>
      <c r="C24" s="43">
        <f>+C11+C15+C19+C23</f>
        <v>11660961.52</v>
      </c>
      <c r="D24" s="43">
        <f t="shared" ref="D24:I24" si="12">+D11+D15+D19+D23</f>
        <v>37</v>
      </c>
      <c r="E24" s="43">
        <f t="shared" si="12"/>
        <v>503181.99</v>
      </c>
      <c r="F24" s="43">
        <f t="shared" si="12"/>
        <v>1563</v>
      </c>
      <c r="G24" s="43">
        <f t="shared" si="12"/>
        <v>9378000</v>
      </c>
      <c r="H24" s="43">
        <f>+H11+H15+H19+H23</f>
        <v>3076</v>
      </c>
      <c r="I24" s="43">
        <f t="shared" si="12"/>
        <v>21542143.510000002</v>
      </c>
    </row>
    <row r="25" spans="1:16" hidden="1" x14ac:dyDescent="0.25">
      <c r="A25" s="66" t="s">
        <v>168</v>
      </c>
    </row>
    <row r="26" spans="1:16" x14ac:dyDescent="0.25">
      <c r="A26" s="15" t="s">
        <v>173</v>
      </c>
      <c r="E26" s="38"/>
      <c r="G26" s="38"/>
    </row>
    <row r="32" spans="1:16" x14ac:dyDescent="0.25">
      <c r="M32" s="55">
        <v>32154</v>
      </c>
      <c r="N32" s="67" t="e">
        <f t="shared" ref="N32:N39" si="13">M32/$B$29*100</f>
        <v>#DIV/0!</v>
      </c>
      <c r="O32" s="56">
        <v>386810064.19999999</v>
      </c>
      <c r="P32" s="68" t="e">
        <f>O32/O40*100</f>
        <v>#DIV/0!</v>
      </c>
    </row>
    <row r="33" spans="13:16" x14ac:dyDescent="0.25">
      <c r="M33" s="55">
        <v>56199</v>
      </c>
      <c r="N33" s="67" t="e">
        <f t="shared" si="13"/>
        <v>#DIV/0!</v>
      </c>
      <c r="O33" s="56">
        <v>471111842.94</v>
      </c>
      <c r="P33" s="68" t="e">
        <f>O33/O40*100</f>
        <v>#DIV/0!</v>
      </c>
    </row>
    <row r="34" spans="13:16" x14ac:dyDescent="0.25">
      <c r="M34" s="55">
        <v>297</v>
      </c>
      <c r="N34" s="67" t="e">
        <f t="shared" si="13"/>
        <v>#DIV/0!</v>
      </c>
      <c r="O34" s="56">
        <v>5010228</v>
      </c>
      <c r="P34" s="68" t="e">
        <f>O34/O40*100</f>
        <v>#DIV/0!</v>
      </c>
    </row>
    <row r="35" spans="13:16" x14ac:dyDescent="0.25">
      <c r="M35" s="55">
        <v>163</v>
      </c>
      <c r="N35" s="67" t="e">
        <f t="shared" si="13"/>
        <v>#DIV/0!</v>
      </c>
      <c r="O35" s="56">
        <v>4392328.91</v>
      </c>
      <c r="P35" s="68" t="e">
        <f>O35/O40*100</f>
        <v>#DIV/0!</v>
      </c>
    </row>
    <row r="36" spans="13:16" x14ac:dyDescent="0.25">
      <c r="M36" s="55">
        <v>366</v>
      </c>
      <c r="N36" s="67" t="e">
        <f t="shared" si="13"/>
        <v>#DIV/0!</v>
      </c>
      <c r="O36" s="56">
        <v>9034522.6500000004</v>
      </c>
      <c r="P36" s="68" t="e">
        <f>O36/O40*100</f>
        <v>#DIV/0!</v>
      </c>
    </row>
    <row r="37" spans="13:16" x14ac:dyDescent="0.25">
      <c r="M37" s="55">
        <v>17249</v>
      </c>
      <c r="N37" s="67" t="e">
        <f t="shared" si="13"/>
        <v>#DIV/0!</v>
      </c>
      <c r="O37" s="56">
        <v>405400068.69</v>
      </c>
      <c r="P37" s="68" t="e">
        <f>O37/O40*100</f>
        <v>#DIV/0!</v>
      </c>
    </row>
    <row r="38" spans="13:16" x14ac:dyDescent="0.25">
      <c r="M38" s="55">
        <v>18745</v>
      </c>
      <c r="N38" s="67" t="e">
        <f t="shared" si="13"/>
        <v>#DIV/0!</v>
      </c>
      <c r="O38" s="56">
        <v>369724631.60000002</v>
      </c>
      <c r="P38" s="68" t="e">
        <f>O38/O40*100</f>
        <v>#DIV/0!</v>
      </c>
    </row>
    <row r="39" spans="13:16" x14ac:dyDescent="0.25">
      <c r="M39" s="55">
        <v>15130</v>
      </c>
      <c r="N39" s="67" t="e">
        <f t="shared" si="13"/>
        <v>#DIV/0!</v>
      </c>
      <c r="O39" s="56">
        <v>151015428.50999999</v>
      </c>
      <c r="P39" s="68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304" t="s">
        <v>6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</row>
    <row r="3" spans="1:9" x14ac:dyDescent="0.25">
      <c r="A3" s="304" t="s">
        <v>169</v>
      </c>
      <c r="B3" s="304"/>
      <c r="C3" s="304"/>
      <c r="D3" s="304"/>
      <c r="E3" s="304"/>
      <c r="F3" s="304"/>
      <c r="G3" s="304"/>
      <c r="H3" s="304"/>
      <c r="I3" s="304"/>
    </row>
    <row r="4" spans="1:9" x14ac:dyDescent="0.25">
      <c r="A4" s="304" t="s">
        <v>165</v>
      </c>
      <c r="B4" s="304"/>
      <c r="C4" s="304"/>
      <c r="D4" s="304"/>
      <c r="E4" s="304"/>
      <c r="F4" s="304"/>
      <c r="G4" s="304"/>
      <c r="H4" s="304"/>
      <c r="I4" s="304"/>
    </row>
    <row r="5" spans="1:9" x14ac:dyDescent="0.25">
      <c r="A5" s="305" t="s">
        <v>164</v>
      </c>
      <c r="B5" s="305"/>
      <c r="C5" s="305"/>
      <c r="D5" s="305"/>
      <c r="E5" s="305"/>
      <c r="F5" s="305"/>
      <c r="G5" s="305"/>
      <c r="H5" s="305"/>
      <c r="I5" s="305"/>
    </row>
    <row r="6" spans="1:9" x14ac:dyDescent="0.25">
      <c r="A6" s="96"/>
      <c r="B6" s="341" t="s">
        <v>13</v>
      </c>
      <c r="C6" s="341"/>
      <c r="D6" s="340" t="s">
        <v>14</v>
      </c>
      <c r="E6" s="340"/>
      <c r="F6" s="342" t="s">
        <v>139</v>
      </c>
      <c r="G6" s="342"/>
      <c r="H6" s="343" t="s">
        <v>15</v>
      </c>
      <c r="I6" s="343"/>
    </row>
    <row r="7" spans="1:9" ht="34.5" customHeight="1" x14ac:dyDescent="0.25">
      <c r="A7" s="97" t="s">
        <v>1</v>
      </c>
      <c r="B7" s="48" t="s">
        <v>170</v>
      </c>
      <c r="C7" s="48" t="s">
        <v>18</v>
      </c>
      <c r="D7" s="48" t="s">
        <v>170</v>
      </c>
      <c r="E7" s="48" t="s">
        <v>18</v>
      </c>
      <c r="F7" s="48" t="s">
        <v>170</v>
      </c>
      <c r="G7" s="48" t="s">
        <v>18</v>
      </c>
      <c r="H7" s="48" t="s">
        <v>170</v>
      </c>
      <c r="I7" s="48" t="s">
        <v>18</v>
      </c>
    </row>
    <row r="8" spans="1:9" x14ac:dyDescent="0.25">
      <c r="A8" s="47" t="s">
        <v>34</v>
      </c>
      <c r="B8" s="34">
        <v>0</v>
      </c>
      <c r="C8" s="64">
        <v>0</v>
      </c>
      <c r="D8" s="34">
        <v>0</v>
      </c>
      <c r="E8" s="64">
        <v>0</v>
      </c>
      <c r="F8" s="34">
        <v>0</v>
      </c>
      <c r="G8" s="64">
        <v>0</v>
      </c>
      <c r="H8" s="39">
        <f t="shared" ref="H8:I10" si="0">+B8+D8+F8</f>
        <v>0</v>
      </c>
      <c r="I8" s="69">
        <f t="shared" si="0"/>
        <v>0</v>
      </c>
    </row>
    <row r="9" spans="1:9" x14ac:dyDescent="0.25">
      <c r="A9" s="47" t="s">
        <v>35</v>
      </c>
      <c r="B9" s="34">
        <v>36</v>
      </c>
      <c r="C9" s="64">
        <v>386001.61</v>
      </c>
      <c r="D9" s="34">
        <v>2</v>
      </c>
      <c r="E9" s="64">
        <v>16030.61</v>
      </c>
      <c r="F9" s="34">
        <v>2</v>
      </c>
      <c r="G9" s="64">
        <v>12000</v>
      </c>
      <c r="H9" s="39">
        <f t="shared" si="0"/>
        <v>40</v>
      </c>
      <c r="I9" s="69">
        <f t="shared" si="0"/>
        <v>414032.22</v>
      </c>
    </row>
    <row r="10" spans="1:9" x14ac:dyDescent="0.25">
      <c r="A10" s="47" t="s">
        <v>36</v>
      </c>
      <c r="B10" s="34">
        <v>131</v>
      </c>
      <c r="C10" s="64">
        <v>1444844.33</v>
      </c>
      <c r="D10" s="34">
        <v>5</v>
      </c>
      <c r="E10" s="64">
        <v>110598.45</v>
      </c>
      <c r="F10" s="34">
        <v>6</v>
      </c>
      <c r="G10" s="64">
        <v>36000</v>
      </c>
      <c r="H10" s="39">
        <f t="shared" si="0"/>
        <v>142</v>
      </c>
      <c r="I10" s="39">
        <f t="shared" si="0"/>
        <v>1591442.78</v>
      </c>
    </row>
    <row r="11" spans="1:9" x14ac:dyDescent="0.25">
      <c r="A11" s="29" t="s">
        <v>129</v>
      </c>
      <c r="B11" s="41">
        <f t="shared" ref="B11:I11" si="1">SUM(B8:B10)</f>
        <v>167</v>
      </c>
      <c r="C11" s="41">
        <f t="shared" si="1"/>
        <v>1830845.94</v>
      </c>
      <c r="D11" s="41">
        <f t="shared" si="1"/>
        <v>7</v>
      </c>
      <c r="E11" s="41">
        <f t="shared" si="1"/>
        <v>126629.06</v>
      </c>
      <c r="F11" s="41">
        <f>SUM(F8:F10)</f>
        <v>8</v>
      </c>
      <c r="G11" s="41">
        <f t="shared" ref="G11" si="2">SUM(G8:G10)</f>
        <v>48000</v>
      </c>
      <c r="H11" s="41">
        <f t="shared" si="1"/>
        <v>182</v>
      </c>
      <c r="I11" s="41">
        <f t="shared" si="1"/>
        <v>2005475</v>
      </c>
    </row>
    <row r="12" spans="1:9" hidden="1" x14ac:dyDescent="0.25">
      <c r="A12" s="47" t="s">
        <v>34</v>
      </c>
      <c r="B12" s="34">
        <v>52</v>
      </c>
      <c r="C12" s="64">
        <v>621254.41</v>
      </c>
      <c r="D12" s="34">
        <v>2</v>
      </c>
      <c r="E12" s="64">
        <v>15128.119999999999</v>
      </c>
      <c r="F12" s="34"/>
      <c r="G12" s="64"/>
      <c r="H12" s="39">
        <f t="shared" ref="H12:I14" si="3">+B12+D12+F12</f>
        <v>54</v>
      </c>
      <c r="I12" s="69">
        <f t="shared" si="3"/>
        <v>636382.53</v>
      </c>
    </row>
    <row r="13" spans="1:9" hidden="1" x14ac:dyDescent="0.25">
      <c r="A13" s="47" t="s">
        <v>35</v>
      </c>
      <c r="B13" s="34"/>
      <c r="C13" s="64"/>
      <c r="D13" s="34"/>
      <c r="E13" s="64"/>
      <c r="F13" s="34"/>
      <c r="G13" s="64"/>
      <c r="H13" s="39">
        <f t="shared" si="3"/>
        <v>0</v>
      </c>
      <c r="I13" s="69">
        <f t="shared" si="3"/>
        <v>0</v>
      </c>
    </row>
    <row r="14" spans="1:9" hidden="1" x14ac:dyDescent="0.25">
      <c r="A14" s="47" t="s">
        <v>36</v>
      </c>
      <c r="B14" s="34"/>
      <c r="C14" s="64"/>
      <c r="D14" s="34"/>
      <c r="E14" s="64"/>
      <c r="F14" s="34"/>
      <c r="G14" s="64"/>
      <c r="H14" s="39">
        <f t="shared" si="3"/>
        <v>0</v>
      </c>
      <c r="I14" s="69">
        <f t="shared" si="3"/>
        <v>0</v>
      </c>
    </row>
    <row r="15" spans="1:9" hidden="1" x14ac:dyDescent="0.25">
      <c r="A15" s="29" t="s">
        <v>129</v>
      </c>
      <c r="B15" s="41">
        <f t="shared" ref="B15:I15" si="4">SUM(B12:B14)</f>
        <v>52</v>
      </c>
      <c r="C15" s="41">
        <f t="shared" si="4"/>
        <v>621254.41</v>
      </c>
      <c r="D15" s="41">
        <f t="shared" si="4"/>
        <v>2</v>
      </c>
      <c r="E15" s="41">
        <f t="shared" si="4"/>
        <v>15128.119999999999</v>
      </c>
      <c r="F15" s="41">
        <f t="shared" ref="F15:G15" si="5">SUM(F12:F14)</f>
        <v>0</v>
      </c>
      <c r="G15" s="41">
        <f t="shared" si="5"/>
        <v>0</v>
      </c>
      <c r="H15" s="41">
        <f t="shared" si="4"/>
        <v>54</v>
      </c>
      <c r="I15" s="41">
        <f t="shared" si="4"/>
        <v>636382.53</v>
      </c>
    </row>
    <row r="16" spans="1:9" hidden="1" x14ac:dyDescent="0.25">
      <c r="A16" s="47" t="s">
        <v>85</v>
      </c>
      <c r="B16" s="34"/>
      <c r="C16" s="64"/>
      <c r="D16" s="34"/>
      <c r="E16" s="64"/>
      <c r="F16" s="34"/>
      <c r="G16" s="64"/>
      <c r="H16" s="39">
        <f t="shared" ref="H16:I18" si="6">+B16+D16+F16</f>
        <v>0</v>
      </c>
      <c r="I16" s="69">
        <f t="shared" si="6"/>
        <v>0</v>
      </c>
    </row>
    <row r="17" spans="1:16" hidden="1" x14ac:dyDescent="0.25">
      <c r="A17" s="47" t="s">
        <v>86</v>
      </c>
      <c r="B17" s="34"/>
      <c r="C17" s="64"/>
      <c r="D17" s="34"/>
      <c r="E17" s="64"/>
      <c r="F17" s="34"/>
      <c r="G17" s="64"/>
      <c r="H17" s="39">
        <f t="shared" si="6"/>
        <v>0</v>
      </c>
      <c r="I17" s="69">
        <f t="shared" si="6"/>
        <v>0</v>
      </c>
    </row>
    <row r="18" spans="1:16" hidden="1" x14ac:dyDescent="0.25">
      <c r="A18" s="47" t="s">
        <v>87</v>
      </c>
      <c r="B18" s="34"/>
      <c r="C18" s="64"/>
      <c r="D18" s="34"/>
      <c r="E18" s="64"/>
      <c r="F18" s="34"/>
      <c r="G18" s="64"/>
      <c r="H18" s="39">
        <f t="shared" si="6"/>
        <v>0</v>
      </c>
      <c r="I18" s="69">
        <f t="shared" si="6"/>
        <v>0</v>
      </c>
    </row>
    <row r="19" spans="1:16" hidden="1" x14ac:dyDescent="0.25">
      <c r="A19" s="29" t="s">
        <v>92</v>
      </c>
      <c r="B19" s="41">
        <f t="shared" ref="B19:E19" si="7">SUM(B16:B18)</f>
        <v>0</v>
      </c>
      <c r="C19" s="41">
        <f t="shared" si="7"/>
        <v>0</v>
      </c>
      <c r="D19" s="41">
        <f t="shared" si="7"/>
        <v>0</v>
      </c>
      <c r="E19" s="41">
        <f t="shared" si="7"/>
        <v>0</v>
      </c>
      <c r="F19" s="41">
        <f t="shared" ref="F19:G19" si="8">SUM(F16:F18)</f>
        <v>0</v>
      </c>
      <c r="G19" s="41">
        <f t="shared" si="8"/>
        <v>0</v>
      </c>
      <c r="H19" s="41">
        <f>SUM(H16:H18)</f>
        <v>0</v>
      </c>
      <c r="I19" s="41">
        <f>SUM(I16:I18)</f>
        <v>0</v>
      </c>
    </row>
    <row r="20" spans="1:16" hidden="1" x14ac:dyDescent="0.25">
      <c r="A20" s="33" t="s">
        <v>88</v>
      </c>
      <c r="B20" s="34"/>
      <c r="C20" s="64"/>
      <c r="D20" s="34"/>
      <c r="E20" s="64"/>
      <c r="F20" s="34"/>
      <c r="G20" s="64"/>
      <c r="H20" s="39">
        <f t="shared" ref="H20:I22" si="9">+B20+D20+F20</f>
        <v>0</v>
      </c>
      <c r="I20" s="69">
        <f t="shared" si="9"/>
        <v>0</v>
      </c>
    </row>
    <row r="21" spans="1:16" hidden="1" x14ac:dyDescent="0.25">
      <c r="A21" s="33" t="s">
        <v>89</v>
      </c>
      <c r="B21" s="34"/>
      <c r="C21" s="64"/>
      <c r="D21" s="34"/>
      <c r="E21" s="64"/>
      <c r="F21" s="34"/>
      <c r="G21" s="64"/>
      <c r="H21" s="39">
        <f t="shared" si="9"/>
        <v>0</v>
      </c>
      <c r="I21" s="69">
        <f t="shared" si="9"/>
        <v>0</v>
      </c>
    </row>
    <row r="22" spans="1:16" hidden="1" x14ac:dyDescent="0.25">
      <c r="A22" s="33" t="s">
        <v>90</v>
      </c>
      <c r="B22" s="34"/>
      <c r="C22" s="64"/>
      <c r="D22" s="34"/>
      <c r="E22" s="64"/>
      <c r="F22" s="34"/>
      <c r="G22" s="64"/>
      <c r="H22" s="39">
        <f t="shared" si="9"/>
        <v>0</v>
      </c>
      <c r="I22" s="69">
        <f t="shared" si="9"/>
        <v>0</v>
      </c>
    </row>
    <row r="23" spans="1:16" hidden="1" x14ac:dyDescent="0.25">
      <c r="A23" s="12" t="s">
        <v>93</v>
      </c>
      <c r="B23" s="41">
        <f t="shared" ref="B23:I23" si="10">SUM(B20:B22)</f>
        <v>0</v>
      </c>
      <c r="C23" s="41">
        <f t="shared" si="10"/>
        <v>0</v>
      </c>
      <c r="D23" s="41">
        <f t="shared" si="10"/>
        <v>0</v>
      </c>
      <c r="E23" s="41">
        <f t="shared" si="10"/>
        <v>0</v>
      </c>
      <c r="F23" s="41">
        <f t="shared" ref="F23:G23" si="11">SUM(F20:F22)</f>
        <v>0</v>
      </c>
      <c r="G23" s="41">
        <f t="shared" si="11"/>
        <v>0</v>
      </c>
      <c r="H23" s="41">
        <f t="shared" si="10"/>
        <v>0</v>
      </c>
      <c r="I23" s="41">
        <f t="shared" si="10"/>
        <v>0</v>
      </c>
    </row>
    <row r="24" spans="1:16" hidden="1" x14ac:dyDescent="0.25">
      <c r="A24" s="65" t="s">
        <v>9</v>
      </c>
      <c r="B24" s="43">
        <f>+B11+B15+B19+B23</f>
        <v>219</v>
      </c>
      <c r="C24" s="43">
        <f>+C11+C15+C19+C23</f>
        <v>2452100.35</v>
      </c>
      <c r="D24" s="43">
        <f t="shared" ref="D24:I24" si="12">+D11+D15+D19+D23</f>
        <v>9</v>
      </c>
      <c r="E24" s="43">
        <f t="shared" si="12"/>
        <v>141757.18</v>
      </c>
      <c r="F24" s="43">
        <f t="shared" si="12"/>
        <v>8</v>
      </c>
      <c r="G24" s="43">
        <f t="shared" si="12"/>
        <v>48000</v>
      </c>
      <c r="H24" s="43">
        <f>+H11+H15+H19+H23</f>
        <v>236</v>
      </c>
      <c r="I24" s="43">
        <f t="shared" si="12"/>
        <v>2641857.5300000003</v>
      </c>
    </row>
    <row r="25" spans="1:16" x14ac:dyDescent="0.25">
      <c r="A25" s="15" t="s">
        <v>173</v>
      </c>
    </row>
    <row r="26" spans="1:16" x14ac:dyDescent="0.25">
      <c r="E26" s="38"/>
      <c r="G26" s="38"/>
    </row>
    <row r="32" spans="1:16" x14ac:dyDescent="0.25">
      <c r="M32" s="55">
        <v>32154</v>
      </c>
      <c r="N32" s="67" t="e">
        <f t="shared" ref="N32:N39" si="13">M32/$B$29*100</f>
        <v>#DIV/0!</v>
      </c>
      <c r="O32" s="56">
        <v>386810064.19999999</v>
      </c>
      <c r="P32" s="68" t="e">
        <f>O32/O40*100</f>
        <v>#DIV/0!</v>
      </c>
    </row>
    <row r="33" spans="13:16" x14ac:dyDescent="0.25">
      <c r="M33" s="55">
        <v>56199</v>
      </c>
      <c r="N33" s="67" t="e">
        <f t="shared" si="13"/>
        <v>#DIV/0!</v>
      </c>
      <c r="O33" s="56">
        <v>471111842.94</v>
      </c>
      <c r="P33" s="68" t="e">
        <f>O33/O40*100</f>
        <v>#DIV/0!</v>
      </c>
    </row>
    <row r="34" spans="13:16" x14ac:dyDescent="0.25">
      <c r="M34" s="55">
        <v>297</v>
      </c>
      <c r="N34" s="67" t="e">
        <f t="shared" si="13"/>
        <v>#DIV/0!</v>
      </c>
      <c r="O34" s="56">
        <v>5010228</v>
      </c>
      <c r="P34" s="68" t="e">
        <f>O34/O40*100</f>
        <v>#DIV/0!</v>
      </c>
    </row>
    <row r="35" spans="13:16" x14ac:dyDescent="0.25">
      <c r="M35" s="55">
        <v>163</v>
      </c>
      <c r="N35" s="67" t="e">
        <f t="shared" si="13"/>
        <v>#DIV/0!</v>
      </c>
      <c r="O35" s="56">
        <v>4392328.91</v>
      </c>
      <c r="P35" s="68" t="e">
        <f>O35/O40*100</f>
        <v>#DIV/0!</v>
      </c>
    </row>
    <row r="36" spans="13:16" x14ac:dyDescent="0.25">
      <c r="M36" s="55">
        <v>366</v>
      </c>
      <c r="N36" s="67" t="e">
        <f t="shared" si="13"/>
        <v>#DIV/0!</v>
      </c>
      <c r="O36" s="56">
        <v>9034522.6500000004</v>
      </c>
      <c r="P36" s="68" t="e">
        <f>O36/O40*100</f>
        <v>#DIV/0!</v>
      </c>
    </row>
    <row r="37" spans="13:16" x14ac:dyDescent="0.25">
      <c r="M37" s="55">
        <v>17249</v>
      </c>
      <c r="N37" s="67" t="e">
        <f t="shared" si="13"/>
        <v>#DIV/0!</v>
      </c>
      <c r="O37" s="56">
        <v>405400068.69</v>
      </c>
      <c r="P37" s="68" t="e">
        <f>O37/O40*100</f>
        <v>#DIV/0!</v>
      </c>
    </row>
    <row r="38" spans="13:16" x14ac:dyDescent="0.25">
      <c r="M38" s="55">
        <v>18745</v>
      </c>
      <c r="N38" s="67" t="e">
        <f t="shared" si="13"/>
        <v>#DIV/0!</v>
      </c>
      <c r="O38" s="56">
        <v>369724631.60000002</v>
      </c>
      <c r="P38" s="68" t="e">
        <f>O38/O40*100</f>
        <v>#DIV/0!</v>
      </c>
    </row>
    <row r="39" spans="13:16" x14ac:dyDescent="0.25">
      <c r="M39" s="55">
        <v>15130</v>
      </c>
      <c r="N39" s="67" t="e">
        <f t="shared" si="13"/>
        <v>#DIV/0!</v>
      </c>
      <c r="O39" s="56">
        <v>151015428.50999999</v>
      </c>
      <c r="P39" s="68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1"/>
  <sheetViews>
    <sheetView showGridLines="0" tabSelected="1" topLeftCell="A10" zoomScale="145" zoomScaleNormal="145" workbookViewId="0">
      <selection activeCell="B12" sqref="B12"/>
    </sheetView>
  </sheetViews>
  <sheetFormatPr baseColWidth="10" defaultColWidth="9.140625" defaultRowHeight="15" x14ac:dyDescent="0.25"/>
  <cols>
    <col min="1" max="7" width="13.140625" style="1" customWidth="1"/>
    <col min="8" max="16384" width="9.140625" style="1"/>
  </cols>
  <sheetData>
    <row r="1" spans="1:10" x14ac:dyDescent="0.25">
      <c r="A1" s="304" t="s">
        <v>0</v>
      </c>
      <c r="B1" s="304"/>
      <c r="C1" s="304"/>
      <c r="D1" s="304"/>
      <c r="E1" s="304"/>
      <c r="F1" s="304"/>
      <c r="G1" s="304"/>
      <c r="H1" s="22"/>
      <c r="I1" s="22"/>
      <c r="J1" s="22"/>
    </row>
    <row r="2" spans="1:10" x14ac:dyDescent="0.25">
      <c r="A2" s="304" t="s">
        <v>120</v>
      </c>
      <c r="B2" s="304"/>
      <c r="C2" s="304"/>
      <c r="D2" s="304"/>
      <c r="E2" s="304"/>
      <c r="F2" s="304"/>
      <c r="G2" s="304"/>
      <c r="H2" s="22"/>
      <c r="I2" s="22"/>
      <c r="J2" s="22"/>
    </row>
    <row r="3" spans="1:10" x14ac:dyDescent="0.25">
      <c r="A3" s="304" t="s">
        <v>162</v>
      </c>
      <c r="B3" s="304"/>
      <c r="C3" s="304"/>
      <c r="D3" s="304"/>
      <c r="E3" s="304"/>
      <c r="F3" s="304"/>
      <c r="G3" s="304"/>
      <c r="H3" s="22"/>
      <c r="I3" s="22"/>
      <c r="J3" s="22"/>
    </row>
    <row r="4" spans="1:10" x14ac:dyDescent="0.25">
      <c r="A4" s="304" t="s">
        <v>228</v>
      </c>
      <c r="B4" s="304"/>
      <c r="C4" s="304"/>
      <c r="D4" s="304"/>
      <c r="E4" s="304"/>
      <c r="F4" s="304"/>
      <c r="G4" s="304"/>
      <c r="H4" s="22"/>
      <c r="I4" s="22"/>
      <c r="J4" s="22"/>
    </row>
    <row r="5" spans="1:10" x14ac:dyDescent="0.25">
      <c r="A5" s="305" t="s">
        <v>229</v>
      </c>
      <c r="B5" s="305"/>
      <c r="C5" s="305"/>
      <c r="D5" s="305"/>
      <c r="E5" s="305"/>
      <c r="F5" s="305"/>
      <c r="G5" s="305"/>
      <c r="H5" s="23"/>
      <c r="I5" s="23"/>
      <c r="J5" s="23"/>
    </row>
    <row r="6" spans="1:10" ht="51" x14ac:dyDescent="0.25">
      <c r="A6" s="97" t="s">
        <v>1</v>
      </c>
      <c r="B6" s="48" t="s">
        <v>50</v>
      </c>
      <c r="C6" s="48" t="s">
        <v>51</v>
      </c>
      <c r="D6" s="48" t="s">
        <v>52</v>
      </c>
      <c r="E6" s="48" t="s">
        <v>53</v>
      </c>
      <c r="F6" s="48" t="s">
        <v>54</v>
      </c>
      <c r="G6" s="208" t="s">
        <v>30</v>
      </c>
      <c r="H6" s="142"/>
    </row>
    <row r="7" spans="1:10" x14ac:dyDescent="0.25">
      <c r="A7" s="74" t="s">
        <v>84</v>
      </c>
      <c r="B7" s="272">
        <v>242</v>
      </c>
      <c r="C7" s="278">
        <v>12284532.879999999</v>
      </c>
      <c r="D7" s="278">
        <v>115263.95000000001</v>
      </c>
      <c r="E7" s="278">
        <v>53252.07</v>
      </c>
      <c r="F7" s="239">
        <f>E7+D7</f>
        <v>168516.02000000002</v>
      </c>
      <c r="G7" s="71">
        <f t="shared" ref="G7" si="0">F7/C7</f>
        <v>1.3717739343134066E-2</v>
      </c>
      <c r="H7" s="142"/>
    </row>
    <row r="8" spans="1:10" x14ac:dyDescent="0.25">
      <c r="A8" s="74" t="s">
        <v>83</v>
      </c>
      <c r="B8" s="272">
        <v>62</v>
      </c>
      <c r="C8" s="278">
        <v>2849882.44</v>
      </c>
      <c r="D8" s="278">
        <v>289266.38999999996</v>
      </c>
      <c r="E8" s="278">
        <v>17118.650000000001</v>
      </c>
      <c r="F8" s="239">
        <f>E8+D8</f>
        <v>306385.03999999998</v>
      </c>
      <c r="G8" s="71">
        <f>F8/C8</f>
        <v>0.10750795741595572</v>
      </c>
      <c r="H8" s="142"/>
    </row>
    <row r="9" spans="1:10" x14ac:dyDescent="0.25">
      <c r="A9" s="74" t="s">
        <v>82</v>
      </c>
      <c r="B9" s="272">
        <v>123</v>
      </c>
      <c r="C9" s="278">
        <v>6549903.3299999954</v>
      </c>
      <c r="D9" s="278">
        <v>2313751.06</v>
      </c>
      <c r="E9" s="273">
        <v>0</v>
      </c>
      <c r="F9" s="239">
        <f>E9+D9</f>
        <v>2313751.06</v>
      </c>
      <c r="G9" s="71">
        <f>F9/C9</f>
        <v>0.35324965017460824</v>
      </c>
      <c r="H9" s="142"/>
    </row>
    <row r="10" spans="1:10" x14ac:dyDescent="0.25">
      <c r="A10" s="29" t="s">
        <v>91</v>
      </c>
      <c r="B10" s="8">
        <f>SUM(B7:B9)</f>
        <v>427</v>
      </c>
      <c r="C10" s="279">
        <f>SUM(C7:C9)</f>
        <v>21684318.649999995</v>
      </c>
      <c r="D10" s="73">
        <f>SUM(D7:D9)</f>
        <v>2718281.4</v>
      </c>
      <c r="E10" s="73">
        <f>SUM(E7:E9)</f>
        <v>70370.720000000001</v>
      </c>
      <c r="F10" s="240">
        <f>SUM(F7:F9)</f>
        <v>2788652.12</v>
      </c>
      <c r="G10" s="16">
        <f t="shared" ref="G10:G23" si="1">F10/C10</f>
        <v>0.12860224778148613</v>
      </c>
      <c r="H10" s="142"/>
    </row>
    <row r="11" spans="1:10" hidden="1" x14ac:dyDescent="0.25">
      <c r="A11" s="74" t="s">
        <v>34</v>
      </c>
      <c r="B11" s="209"/>
      <c r="C11" s="211"/>
      <c r="D11" s="211"/>
      <c r="E11" s="211"/>
      <c r="F11" s="70">
        <f>E11+D11</f>
        <v>0</v>
      </c>
      <c r="G11" s="71" t="e">
        <f t="shared" si="1"/>
        <v>#DIV/0!</v>
      </c>
      <c r="H11" s="142"/>
    </row>
    <row r="12" spans="1:10" hidden="1" x14ac:dyDescent="0.25">
      <c r="A12" s="74" t="s">
        <v>35</v>
      </c>
      <c r="B12" s="209"/>
      <c r="C12" s="211"/>
      <c r="D12" s="211"/>
      <c r="E12" s="211"/>
      <c r="F12" s="70">
        <f>E12+D12</f>
        <v>0</v>
      </c>
      <c r="G12" s="71" t="e">
        <f t="shared" si="1"/>
        <v>#DIV/0!</v>
      </c>
      <c r="H12" s="142"/>
    </row>
    <row r="13" spans="1:10" hidden="1" x14ac:dyDescent="0.25">
      <c r="A13" s="74" t="s">
        <v>36</v>
      </c>
      <c r="B13" s="209"/>
      <c r="C13" s="211"/>
      <c r="D13" s="174"/>
      <c r="E13" s="174"/>
      <c r="F13" s="72">
        <f>E13+D13</f>
        <v>0</v>
      </c>
      <c r="G13" s="71" t="e">
        <f t="shared" si="1"/>
        <v>#DIV/0!</v>
      </c>
      <c r="H13" s="142"/>
    </row>
    <row r="14" spans="1:10" hidden="1" x14ac:dyDescent="0.25">
      <c r="A14" s="29" t="s">
        <v>129</v>
      </c>
      <c r="B14" s="8">
        <f>SUM(B11:B13)</f>
        <v>0</v>
      </c>
      <c r="C14" s="73">
        <f>SUM(C11:C13)</f>
        <v>0</v>
      </c>
      <c r="D14" s="73">
        <f>SUM(D11:D13)</f>
        <v>0</v>
      </c>
      <c r="E14" s="73">
        <f>SUM(E11:E13)</f>
        <v>0</v>
      </c>
      <c r="F14" s="73">
        <f>SUM(F11:F13)</f>
        <v>0</v>
      </c>
      <c r="G14" s="16" t="e">
        <f t="shared" si="1"/>
        <v>#DIV/0!</v>
      </c>
      <c r="H14" s="142"/>
    </row>
    <row r="15" spans="1:10" hidden="1" x14ac:dyDescent="0.25">
      <c r="A15" s="74" t="s">
        <v>85</v>
      </c>
      <c r="B15" s="209"/>
      <c r="C15" s="211"/>
      <c r="D15" s="211"/>
      <c r="E15" s="211"/>
      <c r="F15" s="70">
        <f>E15+D15</f>
        <v>0</v>
      </c>
      <c r="G15" s="71" t="e">
        <f t="shared" si="1"/>
        <v>#DIV/0!</v>
      </c>
      <c r="H15" s="142"/>
    </row>
    <row r="16" spans="1:10" hidden="1" x14ac:dyDescent="0.25">
      <c r="A16" s="74" t="s">
        <v>86</v>
      </c>
      <c r="B16" s="209"/>
      <c r="C16" s="211"/>
      <c r="D16" s="211"/>
      <c r="E16" s="211"/>
      <c r="F16" s="70">
        <f>E16+D16</f>
        <v>0</v>
      </c>
      <c r="G16" s="71" t="e">
        <f t="shared" si="1"/>
        <v>#DIV/0!</v>
      </c>
      <c r="H16" s="142"/>
    </row>
    <row r="17" spans="1:8" hidden="1" x14ac:dyDescent="0.25">
      <c r="A17" s="74" t="s">
        <v>87</v>
      </c>
      <c r="B17" s="209"/>
      <c r="C17" s="211"/>
      <c r="D17" s="174"/>
      <c r="E17" s="174"/>
      <c r="F17" s="72">
        <f>E17+D17</f>
        <v>0</v>
      </c>
      <c r="G17" s="71" t="e">
        <f t="shared" si="1"/>
        <v>#DIV/0!</v>
      </c>
      <c r="H17" s="142"/>
    </row>
    <row r="18" spans="1:8" hidden="1" x14ac:dyDescent="0.25">
      <c r="A18" s="29" t="s">
        <v>92</v>
      </c>
      <c r="B18" s="8">
        <f>SUM(B15:B17)</f>
        <v>0</v>
      </c>
      <c r="C18" s="73">
        <f>SUM(C15:C17)</f>
        <v>0</v>
      </c>
      <c r="D18" s="73">
        <f>SUM(D15:D17)</f>
        <v>0</v>
      </c>
      <c r="E18" s="73">
        <f>SUM(E15:E17)</f>
        <v>0</v>
      </c>
      <c r="F18" s="73">
        <f>SUM(F15:F17)</f>
        <v>0</v>
      </c>
      <c r="G18" s="16" t="e">
        <f t="shared" si="1"/>
        <v>#DIV/0!</v>
      </c>
      <c r="H18" s="142"/>
    </row>
    <row r="19" spans="1:8" hidden="1" x14ac:dyDescent="0.25">
      <c r="A19" s="74" t="s">
        <v>88</v>
      </c>
      <c r="B19" s="209"/>
      <c r="C19" s="211"/>
      <c r="D19" s="211"/>
      <c r="E19" s="211"/>
      <c r="F19" s="70">
        <f>E19+D19</f>
        <v>0</v>
      </c>
      <c r="G19" s="71" t="e">
        <f t="shared" si="1"/>
        <v>#DIV/0!</v>
      </c>
      <c r="H19" s="142"/>
    </row>
    <row r="20" spans="1:8" hidden="1" x14ac:dyDescent="0.25">
      <c r="A20" s="74" t="s">
        <v>89</v>
      </c>
      <c r="B20" s="209"/>
      <c r="C20" s="211"/>
      <c r="D20" s="211"/>
      <c r="E20" s="211"/>
      <c r="F20" s="70">
        <f>E20+D20</f>
        <v>0</v>
      </c>
      <c r="G20" s="71" t="e">
        <f t="shared" si="1"/>
        <v>#DIV/0!</v>
      </c>
      <c r="H20" s="142"/>
    </row>
    <row r="21" spans="1:8" hidden="1" x14ac:dyDescent="0.25">
      <c r="A21" s="74" t="s">
        <v>90</v>
      </c>
      <c r="B21" s="209"/>
      <c r="C21" s="211"/>
      <c r="D21" s="174"/>
      <c r="E21" s="174"/>
      <c r="F21" s="72">
        <f>E21+D21</f>
        <v>0</v>
      </c>
      <c r="G21" s="71" t="e">
        <f t="shared" si="1"/>
        <v>#DIV/0!</v>
      </c>
      <c r="H21" s="142"/>
    </row>
    <row r="22" spans="1:8" hidden="1" x14ac:dyDescent="0.25">
      <c r="A22" s="29" t="s">
        <v>93</v>
      </c>
      <c r="B22" s="8">
        <f>SUM(B19:B21)</f>
        <v>0</v>
      </c>
      <c r="C22" s="73">
        <f>SUM(C19:C21)</f>
        <v>0</v>
      </c>
      <c r="D22" s="73">
        <f>SUM(D19:D21)</f>
        <v>0</v>
      </c>
      <c r="E22" s="73">
        <f>SUM(E19:E21)</f>
        <v>0</v>
      </c>
      <c r="F22" s="73">
        <f>SUM(F19:F21)</f>
        <v>0</v>
      </c>
      <c r="G22" s="16" t="e">
        <f t="shared" si="1"/>
        <v>#DIV/0!</v>
      </c>
      <c r="H22" s="142"/>
    </row>
    <row r="23" spans="1:8" hidden="1" x14ac:dyDescent="0.25">
      <c r="A23" s="75" t="s">
        <v>9</v>
      </c>
      <c r="B23" s="10">
        <f>+B10+B14+B18+B22</f>
        <v>427</v>
      </c>
      <c r="C23" s="10">
        <f>+C10+C14+C18+C22</f>
        <v>21684318.649999995</v>
      </c>
      <c r="D23" s="10">
        <f>+D10+D14+D18+D22</f>
        <v>2718281.4</v>
      </c>
      <c r="E23" s="10">
        <f>+E10+E14+E18+E22</f>
        <v>70370.720000000001</v>
      </c>
      <c r="F23" s="10">
        <f>+F10+F14+F18+F22</f>
        <v>2788652.12</v>
      </c>
      <c r="G23" s="10">
        <f t="shared" si="1"/>
        <v>0.12860224778148613</v>
      </c>
      <c r="H23" s="142"/>
    </row>
    <row r="24" spans="1:8" hidden="1" x14ac:dyDescent="0.25">
      <c r="A24" s="142"/>
      <c r="B24" s="142"/>
      <c r="C24" s="142"/>
      <c r="D24" s="142"/>
      <c r="E24" s="142"/>
      <c r="F24" s="142"/>
      <c r="G24" s="142"/>
      <c r="H24" s="142"/>
    </row>
    <row r="25" spans="1:8" hidden="1" x14ac:dyDescent="0.25">
      <c r="A25" s="142"/>
      <c r="B25" s="142"/>
      <c r="C25" s="142"/>
      <c r="D25" s="142"/>
      <c r="E25" s="142"/>
      <c r="F25" s="142"/>
      <c r="G25" s="142"/>
      <c r="H25" s="142"/>
    </row>
    <row r="26" spans="1:8" hidden="1" x14ac:dyDescent="0.25">
      <c r="A26" s="142"/>
      <c r="B26" s="142"/>
      <c r="C26" s="142"/>
      <c r="D26" s="142"/>
      <c r="E26" s="142"/>
      <c r="F26" s="142"/>
      <c r="G26" s="142"/>
      <c r="H26" s="142"/>
    </row>
    <row r="27" spans="1:8" hidden="1" x14ac:dyDescent="0.25">
      <c r="A27" s="142"/>
      <c r="B27" s="142"/>
      <c r="C27" s="142"/>
      <c r="D27" s="142"/>
      <c r="E27" s="142"/>
      <c r="F27" s="142"/>
      <c r="G27" s="142"/>
      <c r="H27" s="142"/>
    </row>
    <row r="28" spans="1:8" hidden="1" x14ac:dyDescent="0.25">
      <c r="A28" s="142"/>
      <c r="B28" s="142"/>
      <c r="C28" s="142"/>
      <c r="D28" s="142"/>
      <c r="E28" s="142"/>
      <c r="F28" s="142"/>
      <c r="G28" s="142"/>
      <c r="H28" s="142"/>
    </row>
    <row r="29" spans="1:8" hidden="1" x14ac:dyDescent="0.25">
      <c r="A29" s="142"/>
      <c r="B29" s="142"/>
      <c r="C29" s="142"/>
      <c r="D29" s="142"/>
      <c r="E29" s="142"/>
      <c r="F29" s="142"/>
      <c r="G29" s="142"/>
      <c r="H29" s="142"/>
    </row>
    <row r="30" spans="1:8" hidden="1" x14ac:dyDescent="0.25">
      <c r="A30" s="142"/>
      <c r="B30" s="142"/>
      <c r="C30" s="142"/>
      <c r="D30" s="142"/>
      <c r="E30" s="142"/>
      <c r="F30" s="142"/>
      <c r="G30" s="142"/>
      <c r="H30" s="142"/>
    </row>
    <row r="31" spans="1:8" hidden="1" x14ac:dyDescent="0.25">
      <c r="A31" s="142"/>
      <c r="B31" s="142"/>
      <c r="C31" s="142"/>
      <c r="D31" s="142"/>
      <c r="E31" s="142"/>
      <c r="F31" s="142"/>
      <c r="G31" s="142"/>
      <c r="H31" s="142"/>
    </row>
    <row r="32" spans="1:8" hidden="1" x14ac:dyDescent="0.25">
      <c r="A32" s="142"/>
      <c r="B32" s="142"/>
      <c r="C32" s="142"/>
      <c r="D32" s="142"/>
      <c r="E32" s="142"/>
      <c r="F32" s="142"/>
      <c r="G32" s="142"/>
      <c r="H32" s="142"/>
    </row>
    <row r="33" spans="1:8" hidden="1" x14ac:dyDescent="0.25">
      <c r="A33" s="142"/>
      <c r="B33" s="142"/>
      <c r="C33" s="142"/>
      <c r="D33" s="142"/>
      <c r="E33" s="142"/>
      <c r="F33" s="142"/>
      <c r="G33" s="142"/>
      <c r="H33" s="142"/>
    </row>
    <row r="34" spans="1:8" x14ac:dyDescent="0.25">
      <c r="A34" s="276" t="s">
        <v>173</v>
      </c>
      <c r="B34" s="142"/>
      <c r="C34" s="142"/>
      <c r="D34" s="142"/>
      <c r="E34" s="142"/>
      <c r="F34" s="142"/>
      <c r="G34" s="142"/>
      <c r="H34" s="142"/>
    </row>
    <row r="35" spans="1:8" x14ac:dyDescent="0.25">
      <c r="A35" s="150"/>
      <c r="B35" s="142"/>
      <c r="C35" s="142"/>
      <c r="D35" s="142"/>
      <c r="E35" s="142"/>
      <c r="F35" s="142"/>
      <c r="G35" s="142"/>
      <c r="H35" s="142"/>
    </row>
    <row r="36" spans="1:8" x14ac:dyDescent="0.25">
      <c r="A36" s="142"/>
      <c r="B36" s="142"/>
      <c r="C36" s="142"/>
      <c r="D36" s="142"/>
      <c r="E36" s="142"/>
      <c r="F36" s="142"/>
      <c r="G36" s="142"/>
      <c r="H36" s="142"/>
    </row>
    <row r="37" spans="1:8" x14ac:dyDescent="0.25">
      <c r="A37" s="142"/>
      <c r="B37" s="142"/>
      <c r="C37" s="142"/>
      <c r="D37" s="142"/>
      <c r="E37" s="142"/>
      <c r="F37" s="142"/>
      <c r="G37" s="142"/>
      <c r="H37" s="142"/>
    </row>
    <row r="38" spans="1:8" x14ac:dyDescent="0.25">
      <c r="A38" s="142"/>
      <c r="B38" s="142"/>
      <c r="C38" s="142"/>
      <c r="D38" s="142"/>
      <c r="E38" s="142"/>
      <c r="F38" s="142"/>
      <c r="G38" s="142"/>
      <c r="H38" s="142"/>
    </row>
    <row r="39" spans="1:8" x14ac:dyDescent="0.25">
      <c r="A39" s="142"/>
      <c r="B39" s="142"/>
      <c r="C39" s="142"/>
      <c r="D39" s="142"/>
      <c r="E39" s="142"/>
      <c r="F39" s="142"/>
      <c r="G39" s="142"/>
      <c r="H39" s="142"/>
    </row>
    <row r="40" spans="1:8" x14ac:dyDescent="0.25">
      <c r="A40" s="142"/>
      <c r="B40" s="142"/>
      <c r="C40" s="142"/>
      <c r="D40" s="142"/>
      <c r="E40" s="142"/>
      <c r="F40" s="142"/>
      <c r="G40" s="142"/>
      <c r="H40" s="142"/>
    </row>
    <row r="41" spans="1:8" x14ac:dyDescent="0.25">
      <c r="A41" s="142"/>
      <c r="B41" s="142"/>
      <c r="C41" s="142"/>
      <c r="D41" s="142"/>
      <c r="E41" s="142"/>
      <c r="F41" s="142"/>
      <c r="G41" s="142"/>
      <c r="H41" s="142"/>
    </row>
    <row r="42" spans="1:8" x14ac:dyDescent="0.25">
      <c r="A42" s="142"/>
      <c r="B42" s="142"/>
      <c r="C42" s="142"/>
      <c r="D42" s="142"/>
      <c r="E42" s="142"/>
      <c r="F42" s="142"/>
      <c r="G42" s="142"/>
      <c r="H42" s="142"/>
    </row>
    <row r="43" spans="1:8" x14ac:dyDescent="0.25">
      <c r="A43" s="142"/>
      <c r="B43" s="142"/>
      <c r="C43" s="142"/>
      <c r="D43" s="142"/>
      <c r="E43" s="142"/>
      <c r="F43" s="142"/>
      <c r="G43" s="142"/>
      <c r="H43" s="142"/>
    </row>
    <row r="44" spans="1:8" x14ac:dyDescent="0.25">
      <c r="A44" s="142"/>
      <c r="B44" s="142"/>
      <c r="C44" s="142"/>
      <c r="D44" s="142"/>
      <c r="E44" s="142"/>
      <c r="F44" s="142"/>
      <c r="G44" s="142"/>
      <c r="H44" s="142"/>
    </row>
    <row r="45" spans="1:8" x14ac:dyDescent="0.25">
      <c r="A45" s="142"/>
      <c r="B45" s="142"/>
      <c r="C45" s="142"/>
      <c r="D45" s="142"/>
      <c r="E45" s="142"/>
      <c r="F45" s="142"/>
      <c r="G45" s="142"/>
      <c r="H45" s="142"/>
    </row>
    <row r="46" spans="1:8" x14ac:dyDescent="0.25">
      <c r="A46" s="142"/>
      <c r="B46" s="142"/>
      <c r="C46" s="142"/>
      <c r="D46" s="142"/>
      <c r="E46" s="142"/>
      <c r="F46" s="142"/>
      <c r="G46" s="142"/>
      <c r="H46" s="142"/>
    </row>
    <row r="47" spans="1:8" x14ac:dyDescent="0.25">
      <c r="A47" s="142"/>
      <c r="B47" s="142"/>
      <c r="C47" s="142"/>
      <c r="D47" s="142"/>
      <c r="E47" s="142"/>
      <c r="F47" s="142"/>
      <c r="G47" s="142"/>
      <c r="H47" s="142"/>
    </row>
    <row r="48" spans="1:8" x14ac:dyDescent="0.25">
      <c r="A48" s="142"/>
      <c r="B48" s="142"/>
      <c r="C48" s="142"/>
      <c r="D48" s="142"/>
      <c r="E48" s="142"/>
      <c r="F48" s="142"/>
      <c r="G48" s="142"/>
      <c r="H48" s="142"/>
    </row>
    <row r="49" spans="1:8" x14ac:dyDescent="0.25">
      <c r="A49" s="142"/>
      <c r="B49" s="142"/>
      <c r="C49" s="142"/>
      <c r="D49" s="142"/>
      <c r="E49" s="142"/>
      <c r="F49" s="142"/>
      <c r="G49" s="142"/>
      <c r="H49" s="142"/>
    </row>
    <row r="50" spans="1:8" x14ac:dyDescent="0.25">
      <c r="A50" s="142"/>
      <c r="B50" s="142"/>
      <c r="C50" s="142"/>
      <c r="D50" s="142"/>
      <c r="E50" s="142"/>
      <c r="F50" s="142"/>
      <c r="G50" s="142"/>
      <c r="H50" s="142"/>
    </row>
    <row r="51" spans="1:8" x14ac:dyDescent="0.25">
      <c r="A51" s="142"/>
      <c r="B51" s="142"/>
      <c r="C51" s="142"/>
      <c r="D51" s="142"/>
      <c r="E51" s="142"/>
      <c r="F51" s="142"/>
      <c r="G51" s="142"/>
      <c r="H51" s="142"/>
    </row>
    <row r="52" spans="1:8" x14ac:dyDescent="0.25">
      <c r="A52" s="142"/>
      <c r="B52" s="142"/>
      <c r="C52" s="142"/>
      <c r="D52" s="142"/>
      <c r="E52" s="142"/>
      <c r="F52" s="142"/>
      <c r="G52" s="142"/>
      <c r="H52" s="142"/>
    </row>
    <row r="53" spans="1:8" x14ac:dyDescent="0.25">
      <c r="A53" s="142"/>
      <c r="B53" s="142"/>
      <c r="C53" s="142"/>
      <c r="D53" s="142"/>
      <c r="E53" s="142"/>
      <c r="F53" s="142"/>
      <c r="G53" s="142"/>
      <c r="H53" s="142"/>
    </row>
    <row r="54" spans="1:8" x14ac:dyDescent="0.25">
      <c r="A54" s="142"/>
      <c r="B54" s="142"/>
      <c r="C54" s="142"/>
      <c r="D54" s="142"/>
      <c r="E54" s="142"/>
      <c r="F54" s="142"/>
      <c r="G54" s="142"/>
      <c r="H54" s="142"/>
    </row>
    <row r="55" spans="1:8" x14ac:dyDescent="0.25">
      <c r="A55" s="142"/>
      <c r="B55" s="142"/>
      <c r="C55" s="142"/>
      <c r="D55" s="142"/>
      <c r="E55" s="142"/>
      <c r="F55" s="142"/>
      <c r="G55" s="142"/>
      <c r="H55" s="142"/>
    </row>
    <row r="56" spans="1:8" x14ac:dyDescent="0.25">
      <c r="A56" s="142"/>
      <c r="B56" s="142"/>
      <c r="C56" s="142"/>
      <c r="D56" s="142"/>
      <c r="E56" s="142"/>
      <c r="F56" s="142"/>
      <c r="G56" s="142"/>
      <c r="H56" s="142"/>
    </row>
    <row r="57" spans="1:8" x14ac:dyDescent="0.25">
      <c r="A57" s="142"/>
      <c r="B57" s="142"/>
      <c r="C57" s="142"/>
      <c r="D57" s="142"/>
      <c r="E57" s="142"/>
      <c r="F57" s="142"/>
      <c r="G57" s="142"/>
      <c r="H57" s="142"/>
    </row>
    <row r="59" spans="1:8" x14ac:dyDescent="0.25">
      <c r="A59" s="74"/>
      <c r="B59" s="212"/>
      <c r="C59" s="210"/>
      <c r="D59" s="174"/>
      <c r="E59" s="174"/>
      <c r="F59" s="72"/>
      <c r="G59" s="71"/>
    </row>
    <row r="61" spans="1:8" x14ac:dyDescent="0.25">
      <c r="A61" s="74"/>
      <c r="B61" s="209"/>
      <c r="C61" s="210"/>
      <c r="D61" s="211"/>
      <c r="E61" s="211"/>
      <c r="F61" s="72"/>
      <c r="G61" s="71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0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5"/>
  <sheetViews>
    <sheetView showGridLines="0" tabSelected="1" zoomScaleNormal="100" workbookViewId="0">
      <pane xSplit="2" ySplit="10" topLeftCell="L11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1.42578125" defaultRowHeight="15" x14ac:dyDescent="0.25"/>
  <cols>
    <col min="1" max="1" width="11.42578125" style="1"/>
    <col min="2" max="2" width="61.42578125" style="1" customWidth="1"/>
    <col min="3" max="11" width="11.42578125" style="1" hidden="1" customWidth="1"/>
    <col min="12" max="13" width="11.42578125" style="1"/>
    <col min="14" max="14" width="11.42578125" style="1" customWidth="1"/>
    <col min="15" max="16384" width="11.42578125" style="1"/>
  </cols>
  <sheetData>
    <row r="1" spans="1:22" x14ac:dyDescent="0.25">
      <c r="A1" s="22"/>
      <c r="B1" s="304" t="s">
        <v>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22" x14ac:dyDescent="0.25">
      <c r="A2" s="22"/>
      <c r="B2" s="304" t="s">
        <v>123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22" x14ac:dyDescent="0.25">
      <c r="A3" s="22"/>
      <c r="B3" s="304" t="s">
        <v>122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22" x14ac:dyDescent="0.25">
      <c r="A4" s="22"/>
      <c r="B4" s="304" t="s">
        <v>228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22" x14ac:dyDescent="0.25">
      <c r="A5" s="23"/>
      <c r="B5" s="305" t="s">
        <v>229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8" spans="1:22" ht="15.75" x14ac:dyDescent="0.25">
      <c r="B8" s="344" t="s">
        <v>94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</row>
    <row r="9" spans="1:22" x14ac:dyDescent="0.25">
      <c r="B9" s="213"/>
      <c r="C9" s="327" t="s">
        <v>82</v>
      </c>
      <c r="D9" s="327"/>
      <c r="E9" s="327"/>
      <c r="F9" s="327" t="s">
        <v>83</v>
      </c>
      <c r="G9" s="327"/>
      <c r="H9" s="327"/>
      <c r="I9" s="327" t="s">
        <v>84</v>
      </c>
      <c r="J9" s="327"/>
      <c r="K9" s="327"/>
      <c r="L9" s="327" t="s">
        <v>91</v>
      </c>
      <c r="M9" s="327"/>
      <c r="N9" s="327"/>
      <c r="O9" s="142"/>
      <c r="P9" s="142"/>
      <c r="Q9" s="142"/>
      <c r="R9" s="142"/>
      <c r="S9" s="142"/>
      <c r="T9" s="142"/>
      <c r="U9" s="142"/>
      <c r="V9" s="142"/>
    </row>
    <row r="10" spans="1:22" x14ac:dyDescent="0.25">
      <c r="B10" s="58" t="s">
        <v>62</v>
      </c>
      <c r="C10" s="58" t="s">
        <v>63</v>
      </c>
      <c r="D10" s="58" t="s">
        <v>64</v>
      </c>
      <c r="E10" s="58" t="s">
        <v>65</v>
      </c>
      <c r="F10" s="58" t="s">
        <v>63</v>
      </c>
      <c r="G10" s="58" t="s">
        <v>64</v>
      </c>
      <c r="H10" s="58" t="s">
        <v>65</v>
      </c>
      <c r="I10" s="58" t="s">
        <v>63</v>
      </c>
      <c r="J10" s="58" t="s">
        <v>64</v>
      </c>
      <c r="K10" s="58" t="s">
        <v>65</v>
      </c>
      <c r="L10" s="58" t="s">
        <v>63</v>
      </c>
      <c r="M10" s="58" t="s">
        <v>64</v>
      </c>
      <c r="N10" s="58" t="s">
        <v>65</v>
      </c>
      <c r="O10" s="142"/>
      <c r="P10" s="142"/>
      <c r="Q10" s="142"/>
      <c r="R10" s="142"/>
      <c r="S10" s="142"/>
      <c r="T10" s="142"/>
      <c r="U10" s="142"/>
      <c r="V10" s="142"/>
    </row>
    <row r="11" spans="1:22" x14ac:dyDescent="0.25">
      <c r="B11" s="57" t="s">
        <v>66</v>
      </c>
      <c r="C11" s="165">
        <v>14</v>
      </c>
      <c r="D11" s="165">
        <v>12</v>
      </c>
      <c r="E11" s="133">
        <f>IFERROR(D11/C11,"-")</f>
        <v>0.8571428571428571</v>
      </c>
      <c r="F11" s="165">
        <v>13</v>
      </c>
      <c r="G11" s="165">
        <v>9</v>
      </c>
      <c r="H11" s="133">
        <f>IFERROR(G11/F11,"-")</f>
        <v>0.69230769230769229</v>
      </c>
      <c r="I11" s="165">
        <v>10</v>
      </c>
      <c r="J11" s="165">
        <v>10</v>
      </c>
      <c r="K11" s="133">
        <f>IFERROR(J11/I11,"-")</f>
        <v>1</v>
      </c>
      <c r="L11" s="165">
        <f>C11+F11+I11</f>
        <v>37</v>
      </c>
      <c r="M11" s="165">
        <f>D11+G11+J11</f>
        <v>31</v>
      </c>
      <c r="N11" s="82">
        <f>IFERROR(M11/L11,"-")</f>
        <v>0.83783783783783783</v>
      </c>
      <c r="O11" s="142"/>
      <c r="P11" s="142"/>
      <c r="Q11" s="142"/>
      <c r="R11" s="142"/>
      <c r="S11" s="142"/>
      <c r="T11" s="142"/>
      <c r="U11" s="142"/>
      <c r="V11" s="142"/>
    </row>
    <row r="12" spans="1:22" x14ac:dyDescent="0.25">
      <c r="B12" s="57" t="s">
        <v>67</v>
      </c>
      <c r="C12" s="165">
        <v>2563</v>
      </c>
      <c r="D12" s="165">
        <v>2563</v>
      </c>
      <c r="E12" s="133">
        <f t="shared" ref="E12:E30" si="0">IFERROR(D12/C12,"-")</f>
        <v>1</v>
      </c>
      <c r="F12" s="165">
        <v>2869</v>
      </c>
      <c r="G12" s="165">
        <v>2869</v>
      </c>
      <c r="H12" s="133">
        <f t="shared" ref="H12:H20" si="1">IFERROR(G12/F12,"-")</f>
        <v>1</v>
      </c>
      <c r="I12" s="165">
        <v>3387</v>
      </c>
      <c r="J12" s="165">
        <v>3387</v>
      </c>
      <c r="K12" s="133">
        <f t="shared" ref="K12:K20" si="2">IFERROR(J12/I12,"-")</f>
        <v>1</v>
      </c>
      <c r="L12" s="165">
        <f t="shared" ref="L12:L29" si="3">C12+F12+I12</f>
        <v>8819</v>
      </c>
      <c r="M12" s="165">
        <f t="shared" ref="M12:M29" si="4">D12+G12+J12</f>
        <v>8819</v>
      </c>
      <c r="N12" s="82">
        <f t="shared" ref="N12:N21" si="5">IFERROR(M12/L12,"-")</f>
        <v>1</v>
      </c>
      <c r="O12" s="142"/>
      <c r="P12" s="142"/>
      <c r="Q12" s="142"/>
      <c r="R12" s="142"/>
      <c r="S12" s="142"/>
      <c r="T12" s="142"/>
      <c r="U12" s="142"/>
      <c r="V12" s="142"/>
    </row>
    <row r="13" spans="1:22" x14ac:dyDescent="0.25">
      <c r="B13" s="57" t="s">
        <v>20</v>
      </c>
      <c r="C13" s="165">
        <v>190</v>
      </c>
      <c r="D13" s="165">
        <v>171</v>
      </c>
      <c r="E13" s="133">
        <f t="shared" si="0"/>
        <v>0.9</v>
      </c>
      <c r="F13" s="165">
        <v>274</v>
      </c>
      <c r="G13" s="165">
        <v>226</v>
      </c>
      <c r="H13" s="133">
        <f t="shared" si="1"/>
        <v>0.82481751824817517</v>
      </c>
      <c r="I13" s="165">
        <v>266</v>
      </c>
      <c r="J13" s="165">
        <v>228</v>
      </c>
      <c r="K13" s="133">
        <f t="shared" si="2"/>
        <v>0.8571428571428571</v>
      </c>
      <c r="L13" s="165">
        <f t="shared" si="3"/>
        <v>730</v>
      </c>
      <c r="M13" s="165">
        <f t="shared" si="4"/>
        <v>625</v>
      </c>
      <c r="N13" s="82">
        <f t="shared" si="5"/>
        <v>0.85616438356164382</v>
      </c>
      <c r="O13" s="142"/>
      <c r="P13" s="142"/>
      <c r="Q13" s="142"/>
      <c r="R13" s="142"/>
      <c r="S13" s="142"/>
      <c r="T13" s="142"/>
      <c r="U13" s="142"/>
      <c r="V13" s="142"/>
    </row>
    <row r="14" spans="1:22" x14ac:dyDescent="0.25">
      <c r="B14" s="57" t="s">
        <v>68</v>
      </c>
      <c r="C14" s="165">
        <v>3116</v>
      </c>
      <c r="D14" s="165">
        <v>3068</v>
      </c>
      <c r="E14" s="133">
        <f t="shared" si="0"/>
        <v>0.98459563543003847</v>
      </c>
      <c r="F14" s="165">
        <v>2752</v>
      </c>
      <c r="G14" s="165">
        <v>2721</v>
      </c>
      <c r="H14" s="133">
        <f t="shared" si="1"/>
        <v>0.98873546511627908</v>
      </c>
      <c r="I14" s="165">
        <v>2635</v>
      </c>
      <c r="J14" s="165">
        <v>2603</v>
      </c>
      <c r="K14" s="133">
        <f t="shared" si="2"/>
        <v>0.98785578747628089</v>
      </c>
      <c r="L14" s="165">
        <f t="shared" si="3"/>
        <v>8503</v>
      </c>
      <c r="M14" s="165">
        <f t="shared" si="4"/>
        <v>8392</v>
      </c>
      <c r="N14" s="82">
        <f t="shared" si="5"/>
        <v>0.98694578384099729</v>
      </c>
      <c r="O14" s="142"/>
      <c r="P14" s="142"/>
      <c r="Q14" s="142"/>
      <c r="R14" s="142"/>
      <c r="S14" s="142"/>
      <c r="T14" s="142"/>
      <c r="U14" s="142"/>
      <c r="V14" s="142"/>
    </row>
    <row r="15" spans="1:22" x14ac:dyDescent="0.25">
      <c r="B15" s="57" t="s">
        <v>175</v>
      </c>
      <c r="C15" s="165">
        <v>26</v>
      </c>
      <c r="D15" s="165">
        <v>19</v>
      </c>
      <c r="E15" s="133">
        <f t="shared" si="0"/>
        <v>0.73076923076923073</v>
      </c>
      <c r="F15" s="165">
        <v>14</v>
      </c>
      <c r="G15" s="165">
        <v>7</v>
      </c>
      <c r="H15" s="133">
        <f t="shared" si="1"/>
        <v>0.5</v>
      </c>
      <c r="I15" s="165">
        <v>22</v>
      </c>
      <c r="J15" s="165">
        <v>19</v>
      </c>
      <c r="K15" s="133">
        <f t="shared" si="2"/>
        <v>0.86363636363636365</v>
      </c>
      <c r="L15" s="165">
        <f t="shared" si="3"/>
        <v>62</v>
      </c>
      <c r="M15" s="165">
        <f t="shared" si="4"/>
        <v>45</v>
      </c>
      <c r="N15" s="82">
        <f t="shared" si="5"/>
        <v>0.72580645161290325</v>
      </c>
      <c r="O15" s="142"/>
      <c r="P15" s="142"/>
      <c r="Q15" s="142"/>
      <c r="R15" s="142"/>
      <c r="S15" s="142"/>
      <c r="T15" s="142"/>
      <c r="U15" s="142"/>
      <c r="V15" s="142"/>
    </row>
    <row r="16" spans="1:22" x14ac:dyDescent="0.25">
      <c r="B16" s="57" t="s">
        <v>118</v>
      </c>
      <c r="C16" s="165">
        <v>16</v>
      </c>
      <c r="D16" s="165">
        <v>13</v>
      </c>
      <c r="E16" s="133">
        <f t="shared" si="0"/>
        <v>0.8125</v>
      </c>
      <c r="F16" s="165">
        <v>16</v>
      </c>
      <c r="G16" s="165">
        <v>3</v>
      </c>
      <c r="H16" s="133">
        <f t="shared" si="1"/>
        <v>0.1875</v>
      </c>
      <c r="I16" s="165">
        <v>24</v>
      </c>
      <c r="J16" s="165">
        <v>12</v>
      </c>
      <c r="K16" s="133">
        <f t="shared" si="2"/>
        <v>0.5</v>
      </c>
      <c r="L16" s="165">
        <f t="shared" si="3"/>
        <v>56</v>
      </c>
      <c r="M16" s="165">
        <f t="shared" si="4"/>
        <v>28</v>
      </c>
      <c r="N16" s="82">
        <f t="shared" si="5"/>
        <v>0.5</v>
      </c>
      <c r="O16" s="142"/>
      <c r="P16" s="142"/>
      <c r="Q16" s="142"/>
      <c r="R16" s="142"/>
      <c r="S16" s="142"/>
      <c r="T16" s="142"/>
      <c r="U16" s="142"/>
      <c r="V16" s="142"/>
    </row>
    <row r="17" spans="2:22" x14ac:dyDescent="0.25">
      <c r="B17" s="57" t="s">
        <v>70</v>
      </c>
      <c r="C17" s="165">
        <v>110</v>
      </c>
      <c r="D17" s="165">
        <v>80</v>
      </c>
      <c r="E17" s="133">
        <f t="shared" si="0"/>
        <v>0.72727272727272729</v>
      </c>
      <c r="F17" s="165">
        <v>186</v>
      </c>
      <c r="G17" s="165">
        <v>99</v>
      </c>
      <c r="H17" s="133">
        <f t="shared" si="1"/>
        <v>0.532258064516129</v>
      </c>
      <c r="I17" s="165">
        <v>170</v>
      </c>
      <c r="J17" s="165">
        <v>143</v>
      </c>
      <c r="K17" s="133">
        <f t="shared" si="2"/>
        <v>0.8411764705882353</v>
      </c>
      <c r="L17" s="165">
        <f t="shared" si="3"/>
        <v>466</v>
      </c>
      <c r="M17" s="165">
        <f t="shared" si="4"/>
        <v>322</v>
      </c>
      <c r="N17" s="82">
        <f t="shared" si="5"/>
        <v>0.69098712446351929</v>
      </c>
      <c r="O17" s="142"/>
      <c r="P17" s="142"/>
      <c r="Q17" s="142"/>
      <c r="R17" s="142"/>
      <c r="S17" s="142"/>
      <c r="T17" s="142"/>
      <c r="U17" s="142"/>
      <c r="V17" s="142"/>
    </row>
    <row r="18" spans="2:22" x14ac:dyDescent="0.25">
      <c r="B18" s="57" t="s">
        <v>80</v>
      </c>
      <c r="C18" s="165">
        <v>0</v>
      </c>
      <c r="D18" s="165">
        <v>0</v>
      </c>
      <c r="E18" s="133" t="str">
        <f t="shared" si="0"/>
        <v>-</v>
      </c>
      <c r="F18" s="165">
        <v>2</v>
      </c>
      <c r="G18" s="165">
        <v>2</v>
      </c>
      <c r="H18" s="133">
        <f t="shared" si="1"/>
        <v>1</v>
      </c>
      <c r="I18" s="165">
        <v>2</v>
      </c>
      <c r="J18" s="165">
        <v>1</v>
      </c>
      <c r="K18" s="133">
        <f t="shared" si="2"/>
        <v>0.5</v>
      </c>
      <c r="L18" s="165">
        <f t="shared" si="3"/>
        <v>4</v>
      </c>
      <c r="M18" s="165">
        <f t="shared" si="4"/>
        <v>3</v>
      </c>
      <c r="N18" s="82">
        <f t="shared" si="5"/>
        <v>0.75</v>
      </c>
      <c r="O18" s="142"/>
      <c r="P18" s="142"/>
      <c r="Q18" s="142"/>
      <c r="R18" s="142"/>
      <c r="S18" s="142"/>
      <c r="T18" s="142"/>
      <c r="U18" s="142"/>
      <c r="V18" s="142"/>
    </row>
    <row r="19" spans="2:22" x14ac:dyDescent="0.25">
      <c r="B19" s="57" t="s">
        <v>174</v>
      </c>
      <c r="C19" s="165">
        <v>0</v>
      </c>
      <c r="D19" s="165">
        <v>0</v>
      </c>
      <c r="E19" s="133" t="str">
        <f t="shared" si="0"/>
        <v>-</v>
      </c>
      <c r="F19" s="165">
        <v>0</v>
      </c>
      <c r="G19" s="165">
        <v>0</v>
      </c>
      <c r="H19" s="133" t="str">
        <f t="shared" si="1"/>
        <v>-</v>
      </c>
      <c r="I19" s="165">
        <v>0</v>
      </c>
      <c r="J19" s="165">
        <v>0</v>
      </c>
      <c r="K19" s="133" t="str">
        <f t="shared" si="2"/>
        <v>-</v>
      </c>
      <c r="L19" s="165">
        <f t="shared" si="3"/>
        <v>0</v>
      </c>
      <c r="M19" s="165">
        <f t="shared" si="4"/>
        <v>0</v>
      </c>
      <c r="N19" s="82" t="str">
        <f t="shared" si="5"/>
        <v>-</v>
      </c>
      <c r="O19" s="142"/>
      <c r="P19" s="142"/>
      <c r="Q19" s="142"/>
      <c r="R19" s="142"/>
      <c r="S19" s="142"/>
      <c r="T19" s="142"/>
      <c r="U19" s="142"/>
      <c r="V19" s="142"/>
    </row>
    <row r="20" spans="2:22" x14ac:dyDescent="0.25">
      <c r="B20" s="57" t="s">
        <v>81</v>
      </c>
      <c r="C20" s="165">
        <v>5</v>
      </c>
      <c r="D20" s="165">
        <v>5</v>
      </c>
      <c r="E20" s="133">
        <f t="shared" si="0"/>
        <v>1</v>
      </c>
      <c r="F20" s="165">
        <v>13</v>
      </c>
      <c r="G20" s="165">
        <v>3</v>
      </c>
      <c r="H20" s="133">
        <f t="shared" si="1"/>
        <v>0.23076923076923078</v>
      </c>
      <c r="I20" s="165">
        <v>6</v>
      </c>
      <c r="J20" s="165">
        <v>4</v>
      </c>
      <c r="K20" s="133">
        <f t="shared" si="2"/>
        <v>0.66666666666666663</v>
      </c>
      <c r="L20" s="165">
        <f t="shared" si="3"/>
        <v>24</v>
      </c>
      <c r="M20" s="165">
        <f t="shared" si="4"/>
        <v>12</v>
      </c>
      <c r="N20" s="82">
        <f>IFERROR(M20/L20,"-")</f>
        <v>0.5</v>
      </c>
      <c r="O20" s="142"/>
      <c r="P20" s="142"/>
      <c r="Q20" s="142"/>
      <c r="R20" s="142"/>
      <c r="S20" s="142"/>
      <c r="T20" s="142"/>
      <c r="U20" s="142"/>
      <c r="V20" s="142"/>
    </row>
    <row r="21" spans="2:22" x14ac:dyDescent="0.25">
      <c r="B21" s="57" t="s">
        <v>71</v>
      </c>
      <c r="C21" s="165">
        <v>114</v>
      </c>
      <c r="D21" s="165">
        <v>97</v>
      </c>
      <c r="E21" s="133">
        <f t="shared" si="0"/>
        <v>0.85087719298245612</v>
      </c>
      <c r="F21" s="165">
        <v>86</v>
      </c>
      <c r="G21" s="165">
        <v>58</v>
      </c>
      <c r="H21" s="133">
        <f t="shared" ref="H21:H30" si="6">IFERROR(G21/F21,"-")</f>
        <v>0.67441860465116277</v>
      </c>
      <c r="I21" s="165">
        <v>147</v>
      </c>
      <c r="J21" s="165">
        <v>129</v>
      </c>
      <c r="K21" s="133">
        <f t="shared" ref="K21:K30" si="7">IFERROR(J21/I21,"-")</f>
        <v>0.87755102040816324</v>
      </c>
      <c r="L21" s="165">
        <f t="shared" si="3"/>
        <v>347</v>
      </c>
      <c r="M21" s="165">
        <f t="shared" si="4"/>
        <v>284</v>
      </c>
      <c r="N21" s="82">
        <f t="shared" si="5"/>
        <v>0.81844380403458217</v>
      </c>
      <c r="O21" s="142"/>
      <c r="P21" s="142"/>
      <c r="Q21" s="142"/>
      <c r="R21" s="142"/>
      <c r="S21" s="142"/>
      <c r="T21" s="142"/>
      <c r="U21" s="142"/>
      <c r="V21" s="142"/>
    </row>
    <row r="22" spans="2:22" x14ac:dyDescent="0.25">
      <c r="B22" s="57" t="s">
        <v>72</v>
      </c>
      <c r="C22" s="165">
        <v>54</v>
      </c>
      <c r="D22" s="165">
        <v>52</v>
      </c>
      <c r="E22" s="133">
        <f t="shared" si="0"/>
        <v>0.96296296296296291</v>
      </c>
      <c r="F22" s="165">
        <v>80</v>
      </c>
      <c r="G22" s="165">
        <v>53</v>
      </c>
      <c r="H22" s="133">
        <f t="shared" si="6"/>
        <v>0.66249999999999998</v>
      </c>
      <c r="I22" s="165">
        <v>98</v>
      </c>
      <c r="J22" s="165">
        <v>96</v>
      </c>
      <c r="K22" s="133">
        <f t="shared" si="7"/>
        <v>0.97959183673469385</v>
      </c>
      <c r="L22" s="165">
        <f t="shared" si="3"/>
        <v>232</v>
      </c>
      <c r="M22" s="165">
        <f t="shared" si="4"/>
        <v>201</v>
      </c>
      <c r="N22" s="82">
        <f t="shared" ref="N22:N28" si="8">IFERROR(M22/L22,"-")</f>
        <v>0.86637931034482762</v>
      </c>
      <c r="O22" s="142"/>
      <c r="P22" s="142"/>
      <c r="Q22" s="142"/>
      <c r="R22" s="142"/>
      <c r="S22" s="142"/>
      <c r="T22" s="142"/>
      <c r="U22" s="142"/>
      <c r="V22" s="142"/>
    </row>
    <row r="23" spans="2:22" x14ac:dyDescent="0.25">
      <c r="B23" s="57" t="s">
        <v>144</v>
      </c>
      <c r="C23" s="165">
        <v>372</v>
      </c>
      <c r="D23" s="165">
        <v>331</v>
      </c>
      <c r="E23" s="133">
        <f t="shared" si="0"/>
        <v>0.88978494623655913</v>
      </c>
      <c r="F23" s="165">
        <v>466</v>
      </c>
      <c r="G23" s="165">
        <v>264</v>
      </c>
      <c r="H23" s="133">
        <f t="shared" si="6"/>
        <v>0.5665236051502146</v>
      </c>
      <c r="I23" s="165">
        <v>481</v>
      </c>
      <c r="J23" s="165">
        <v>179</v>
      </c>
      <c r="K23" s="133">
        <f t="shared" si="7"/>
        <v>0.37214137214137216</v>
      </c>
      <c r="L23" s="165">
        <f t="shared" si="3"/>
        <v>1319</v>
      </c>
      <c r="M23" s="165">
        <f t="shared" si="4"/>
        <v>774</v>
      </c>
      <c r="N23" s="82">
        <f t="shared" si="8"/>
        <v>0.58680818802122825</v>
      </c>
      <c r="O23" s="142"/>
      <c r="P23" s="142"/>
      <c r="Q23" s="142"/>
      <c r="R23" s="142"/>
      <c r="S23" s="142"/>
      <c r="T23" s="142"/>
      <c r="U23" s="142"/>
      <c r="V23" s="142"/>
    </row>
    <row r="24" spans="2:22" x14ac:dyDescent="0.25">
      <c r="B24" s="57" t="s">
        <v>73</v>
      </c>
      <c r="C24" s="165">
        <v>5</v>
      </c>
      <c r="D24" s="165">
        <v>3</v>
      </c>
      <c r="E24" s="133">
        <f t="shared" si="0"/>
        <v>0.6</v>
      </c>
      <c r="F24" s="165">
        <v>5</v>
      </c>
      <c r="G24" s="165">
        <v>3</v>
      </c>
      <c r="H24" s="133">
        <f t="shared" si="6"/>
        <v>0.6</v>
      </c>
      <c r="I24" s="165">
        <v>2</v>
      </c>
      <c r="J24" s="165">
        <v>2</v>
      </c>
      <c r="K24" s="133">
        <f t="shared" si="7"/>
        <v>1</v>
      </c>
      <c r="L24" s="165">
        <f t="shared" si="3"/>
        <v>12</v>
      </c>
      <c r="M24" s="165">
        <f t="shared" si="4"/>
        <v>8</v>
      </c>
      <c r="N24" s="82">
        <f t="shared" si="8"/>
        <v>0.66666666666666663</v>
      </c>
      <c r="O24" s="142"/>
      <c r="P24" s="142"/>
      <c r="Q24" s="142"/>
      <c r="R24" s="142"/>
      <c r="S24" s="142"/>
      <c r="T24" s="142"/>
      <c r="U24" s="142"/>
      <c r="V24" s="142"/>
    </row>
    <row r="25" spans="2:22" x14ac:dyDescent="0.25">
      <c r="B25" s="57" t="s">
        <v>74</v>
      </c>
      <c r="C25" s="165">
        <v>67</v>
      </c>
      <c r="D25" s="165">
        <v>59</v>
      </c>
      <c r="E25" s="133">
        <f t="shared" si="0"/>
        <v>0.88059701492537312</v>
      </c>
      <c r="F25" s="165">
        <v>61</v>
      </c>
      <c r="G25" s="165">
        <v>43</v>
      </c>
      <c r="H25" s="133">
        <f t="shared" si="6"/>
        <v>0.70491803278688525</v>
      </c>
      <c r="I25" s="165">
        <v>43</v>
      </c>
      <c r="J25" s="165">
        <v>39</v>
      </c>
      <c r="K25" s="133">
        <f t="shared" si="7"/>
        <v>0.90697674418604646</v>
      </c>
      <c r="L25" s="165">
        <f t="shared" si="3"/>
        <v>171</v>
      </c>
      <c r="M25" s="165">
        <f t="shared" si="4"/>
        <v>141</v>
      </c>
      <c r="N25" s="82">
        <f t="shared" si="8"/>
        <v>0.82456140350877194</v>
      </c>
      <c r="O25" s="142"/>
      <c r="P25" s="142"/>
      <c r="Q25" s="142"/>
      <c r="R25" s="142"/>
      <c r="S25" s="142"/>
      <c r="T25" s="142"/>
      <c r="U25" s="142"/>
      <c r="V25" s="142"/>
    </row>
    <row r="26" spans="2:22" x14ac:dyDescent="0.25">
      <c r="B26" s="57" t="s">
        <v>75</v>
      </c>
      <c r="C26" s="165">
        <v>2447</v>
      </c>
      <c r="D26" s="165">
        <v>1508</v>
      </c>
      <c r="E26" s="133">
        <f t="shared" si="0"/>
        <v>0.61626481405803024</v>
      </c>
      <c r="F26" s="165">
        <v>4306</v>
      </c>
      <c r="G26" s="165">
        <v>2546</v>
      </c>
      <c r="H26" s="133">
        <f t="shared" si="6"/>
        <v>0.59126799814212727</v>
      </c>
      <c r="I26" s="165">
        <v>2251</v>
      </c>
      <c r="J26" s="165">
        <v>2103</v>
      </c>
      <c r="K26" s="133">
        <f t="shared" si="7"/>
        <v>0.93425144380275438</v>
      </c>
      <c r="L26" s="165">
        <f t="shared" si="3"/>
        <v>9004</v>
      </c>
      <c r="M26" s="165">
        <f t="shared" si="4"/>
        <v>6157</v>
      </c>
      <c r="N26" s="82">
        <f t="shared" si="8"/>
        <v>0.68380719680142155</v>
      </c>
      <c r="O26" s="142"/>
      <c r="P26" s="142"/>
      <c r="Q26" s="142"/>
      <c r="R26" s="142"/>
      <c r="S26" s="142"/>
      <c r="T26" s="142"/>
      <c r="U26" s="142"/>
      <c r="V26" s="142"/>
    </row>
    <row r="27" spans="2:22" x14ac:dyDescent="0.25">
      <c r="B27" s="57" t="s">
        <v>76</v>
      </c>
      <c r="C27" s="165">
        <v>171</v>
      </c>
      <c r="D27" s="165">
        <v>120</v>
      </c>
      <c r="E27" s="133">
        <f t="shared" si="0"/>
        <v>0.70175438596491224</v>
      </c>
      <c r="F27" s="165">
        <v>248</v>
      </c>
      <c r="G27" s="165">
        <v>83</v>
      </c>
      <c r="H27" s="133">
        <f t="shared" si="6"/>
        <v>0.33467741935483869</v>
      </c>
      <c r="I27" s="165">
        <v>428</v>
      </c>
      <c r="J27" s="165">
        <v>300</v>
      </c>
      <c r="K27" s="133">
        <f t="shared" si="7"/>
        <v>0.7009345794392523</v>
      </c>
      <c r="L27" s="165">
        <f t="shared" si="3"/>
        <v>847</v>
      </c>
      <c r="M27" s="165">
        <f t="shared" si="4"/>
        <v>503</v>
      </c>
      <c r="N27" s="82">
        <f t="shared" si="8"/>
        <v>0.59386068476977572</v>
      </c>
      <c r="O27" s="142"/>
      <c r="P27" s="142"/>
      <c r="Q27" s="142"/>
      <c r="R27" s="142"/>
      <c r="S27" s="142"/>
      <c r="T27" s="142"/>
      <c r="U27" s="142"/>
      <c r="V27" s="142"/>
    </row>
    <row r="28" spans="2:22" x14ac:dyDescent="0.25">
      <c r="B28" s="57" t="s">
        <v>77</v>
      </c>
      <c r="C28" s="165">
        <v>34</v>
      </c>
      <c r="D28" s="165">
        <v>31</v>
      </c>
      <c r="E28" s="133">
        <f t="shared" si="0"/>
        <v>0.91176470588235292</v>
      </c>
      <c r="F28" s="165">
        <v>39</v>
      </c>
      <c r="G28" s="165">
        <v>24</v>
      </c>
      <c r="H28" s="133">
        <f t="shared" si="6"/>
        <v>0.61538461538461542</v>
      </c>
      <c r="I28" s="165">
        <v>60</v>
      </c>
      <c r="J28" s="165">
        <v>48</v>
      </c>
      <c r="K28" s="133">
        <f t="shared" si="7"/>
        <v>0.8</v>
      </c>
      <c r="L28" s="165">
        <f t="shared" si="3"/>
        <v>133</v>
      </c>
      <c r="M28" s="165">
        <f t="shared" si="4"/>
        <v>103</v>
      </c>
      <c r="N28" s="82">
        <f t="shared" si="8"/>
        <v>0.77443609022556392</v>
      </c>
      <c r="O28" s="142"/>
      <c r="P28" s="142"/>
      <c r="Q28" s="142"/>
      <c r="R28" s="142"/>
      <c r="S28" s="142"/>
      <c r="T28" s="142"/>
      <c r="U28" s="142"/>
      <c r="V28" s="142"/>
    </row>
    <row r="29" spans="2:22" x14ac:dyDescent="0.25">
      <c r="B29" s="57" t="s">
        <v>78</v>
      </c>
      <c r="C29" s="165">
        <v>33</v>
      </c>
      <c r="D29" s="165">
        <v>26</v>
      </c>
      <c r="E29" s="133">
        <f t="shared" si="0"/>
        <v>0.78787878787878785</v>
      </c>
      <c r="F29" s="165">
        <v>33</v>
      </c>
      <c r="G29" s="165">
        <v>24</v>
      </c>
      <c r="H29" s="133">
        <f t="shared" si="6"/>
        <v>0.72727272727272729</v>
      </c>
      <c r="I29" s="165">
        <v>38</v>
      </c>
      <c r="J29" s="165">
        <v>37</v>
      </c>
      <c r="K29" s="133">
        <f t="shared" si="7"/>
        <v>0.97368421052631582</v>
      </c>
      <c r="L29" s="165">
        <f t="shared" si="3"/>
        <v>104</v>
      </c>
      <c r="M29" s="165">
        <f t="shared" si="4"/>
        <v>87</v>
      </c>
      <c r="N29" s="82">
        <f>IFERROR(M29/L29,"-")</f>
        <v>0.83653846153846156</v>
      </c>
      <c r="O29" s="142"/>
      <c r="P29" s="142"/>
      <c r="Q29" s="142"/>
      <c r="R29" s="142"/>
      <c r="S29" s="142"/>
      <c r="T29" s="142"/>
      <c r="U29" s="142"/>
      <c r="V29" s="142"/>
    </row>
    <row r="30" spans="2:22" x14ac:dyDescent="0.25">
      <c r="B30" s="49" t="s">
        <v>79</v>
      </c>
      <c r="C30" s="8">
        <f>SUM(C11:C29)</f>
        <v>9337</v>
      </c>
      <c r="D30" s="8">
        <f>SUM(D11:D29)</f>
        <v>8158</v>
      </c>
      <c r="E30" s="8">
        <f t="shared" si="0"/>
        <v>0.87372817821570092</v>
      </c>
      <c r="F30" s="8">
        <f>SUM(F11:F29)</f>
        <v>11463</v>
      </c>
      <c r="G30" s="8">
        <f>SUM(G11:G29)</f>
        <v>9037</v>
      </c>
      <c r="H30" s="8">
        <f t="shared" si="6"/>
        <v>0.78836255779464359</v>
      </c>
      <c r="I30" s="8">
        <f>SUM(I11:I29)</f>
        <v>10070</v>
      </c>
      <c r="J30" s="8">
        <f>SUM(J11:J29)</f>
        <v>9340</v>
      </c>
      <c r="K30" s="8">
        <f t="shared" si="7"/>
        <v>0.92750744786494543</v>
      </c>
      <c r="L30" s="8">
        <f>SUM(L11:L29)</f>
        <v>30870</v>
      </c>
      <c r="M30" s="8">
        <f>SUM(M11:M29)</f>
        <v>26535</v>
      </c>
      <c r="N30" s="98">
        <f>+M30/L30</f>
        <v>0.85957240038872695</v>
      </c>
      <c r="O30" s="142"/>
      <c r="P30" s="142"/>
      <c r="Q30" s="142"/>
      <c r="R30" s="142"/>
      <c r="S30" s="142"/>
      <c r="T30" s="142"/>
      <c r="U30" s="142"/>
      <c r="V30" s="142"/>
    </row>
    <row r="31" spans="2:22" x14ac:dyDescent="0.25">
      <c r="B31" s="155" t="s">
        <v>248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2" spans="2:22" x14ac:dyDescent="0.25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  <row r="33" spans="2:22" x14ac:dyDescent="0.25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</row>
    <row r="34" spans="2:22" x14ac:dyDescent="0.2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</row>
    <row r="35" spans="2:22" x14ac:dyDescent="0.2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</row>
    <row r="36" spans="2:22" ht="15.75" x14ac:dyDescent="0.25">
      <c r="B36" s="345" t="s">
        <v>95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142"/>
      <c r="P36" s="142"/>
      <c r="Q36" s="142"/>
      <c r="R36" s="142"/>
      <c r="S36" s="142"/>
      <c r="T36" s="142"/>
      <c r="U36" s="142"/>
      <c r="V36" s="142"/>
    </row>
    <row r="37" spans="2:22" x14ac:dyDescent="0.25">
      <c r="B37" s="213"/>
      <c r="C37" s="327" t="s">
        <v>82</v>
      </c>
      <c r="D37" s="327"/>
      <c r="E37" s="327"/>
      <c r="F37" s="327" t="s">
        <v>83</v>
      </c>
      <c r="G37" s="327"/>
      <c r="H37" s="327"/>
      <c r="I37" s="327" t="s">
        <v>84</v>
      </c>
      <c r="J37" s="327"/>
      <c r="K37" s="327"/>
      <c r="L37" s="327" t="s">
        <v>91</v>
      </c>
      <c r="M37" s="327"/>
      <c r="N37" s="327"/>
      <c r="O37" s="142"/>
      <c r="P37" s="142"/>
      <c r="Q37" s="142"/>
      <c r="R37" s="142"/>
      <c r="S37" s="142"/>
      <c r="T37" s="142"/>
      <c r="U37" s="142"/>
      <c r="V37" s="142"/>
    </row>
    <row r="38" spans="2:22" x14ac:dyDescent="0.25">
      <c r="B38" s="57"/>
      <c r="C38" s="58" t="s">
        <v>63</v>
      </c>
      <c r="D38" s="58" t="s">
        <v>64</v>
      </c>
      <c r="E38" s="58" t="s">
        <v>39</v>
      </c>
      <c r="F38" s="58" t="s">
        <v>63</v>
      </c>
      <c r="G38" s="58" t="s">
        <v>64</v>
      </c>
      <c r="H38" s="58" t="s">
        <v>65</v>
      </c>
      <c r="I38" s="58" t="s">
        <v>63</v>
      </c>
      <c r="J38" s="58" t="s">
        <v>64</v>
      </c>
      <c r="K38" s="58" t="s">
        <v>65</v>
      </c>
      <c r="L38" s="58" t="s">
        <v>63</v>
      </c>
      <c r="M38" s="58" t="s">
        <v>64</v>
      </c>
      <c r="N38" s="58" t="s">
        <v>65</v>
      </c>
      <c r="O38" s="142"/>
      <c r="P38" s="142"/>
      <c r="Q38" s="142"/>
      <c r="R38" s="142"/>
      <c r="S38" s="142"/>
      <c r="T38" s="142"/>
      <c r="U38" s="142"/>
      <c r="V38" s="142"/>
    </row>
    <row r="39" spans="2:22" x14ac:dyDescent="0.25">
      <c r="B39" s="57" t="s">
        <v>66</v>
      </c>
      <c r="C39" s="214">
        <v>16</v>
      </c>
      <c r="D39" s="214">
        <v>7</v>
      </c>
      <c r="E39" s="133">
        <f>IFERROR(D39/C39,"-")</f>
        <v>0.4375</v>
      </c>
      <c r="F39" s="214">
        <v>11</v>
      </c>
      <c r="G39" s="214">
        <v>8</v>
      </c>
      <c r="H39" s="133">
        <f t="shared" ref="H39:H50" si="9">IFERROR(G39/F39,"-")</f>
        <v>0.72727272727272729</v>
      </c>
      <c r="I39" s="214">
        <v>14</v>
      </c>
      <c r="J39" s="214">
        <v>4</v>
      </c>
      <c r="K39" s="133">
        <f t="shared" ref="K39:K50" si="10">IFERROR(J39/I39,"-")</f>
        <v>0.2857142857142857</v>
      </c>
      <c r="L39" s="214">
        <f>C39+F39+I39</f>
        <v>41</v>
      </c>
      <c r="M39" s="165">
        <f>D39+G39+J39</f>
        <v>19</v>
      </c>
      <c r="N39" s="82">
        <f>IFERROR(M39/L39,"-")</f>
        <v>0.46341463414634149</v>
      </c>
      <c r="O39" s="142"/>
      <c r="P39" s="142"/>
      <c r="Q39" s="142"/>
      <c r="R39" s="142"/>
      <c r="S39" s="142"/>
      <c r="T39" s="142"/>
      <c r="U39" s="142"/>
      <c r="V39" s="142"/>
    </row>
    <row r="40" spans="2:22" x14ac:dyDescent="0.25">
      <c r="B40" s="57" t="s">
        <v>69</v>
      </c>
      <c r="C40" s="214">
        <v>15</v>
      </c>
      <c r="D40" s="214">
        <v>3</v>
      </c>
      <c r="E40" s="133">
        <f t="shared" ref="E40:E49" si="11">IFERROR(D40/C40,"-")</f>
        <v>0.2</v>
      </c>
      <c r="F40" s="214">
        <v>6</v>
      </c>
      <c r="G40" s="214">
        <v>0</v>
      </c>
      <c r="H40" s="133">
        <f t="shared" si="9"/>
        <v>0</v>
      </c>
      <c r="I40" s="214">
        <v>23</v>
      </c>
      <c r="J40" s="214">
        <v>2</v>
      </c>
      <c r="K40" s="133">
        <f t="shared" si="10"/>
        <v>8.6956521739130432E-2</v>
      </c>
      <c r="L40" s="214">
        <f t="shared" ref="L40:L49" si="12">C40+F40+I40</f>
        <v>44</v>
      </c>
      <c r="M40" s="165">
        <f t="shared" ref="M40:M49" si="13">D40+G40+J40</f>
        <v>5</v>
      </c>
      <c r="N40" s="82">
        <f t="shared" ref="N40:N49" si="14">IFERROR(M40/L40,"-")</f>
        <v>0.11363636363636363</v>
      </c>
      <c r="O40" s="142"/>
      <c r="P40" s="142"/>
      <c r="Q40" s="142"/>
      <c r="R40" s="142"/>
      <c r="S40" s="142"/>
      <c r="T40" s="142"/>
      <c r="U40" s="142"/>
      <c r="V40" s="142"/>
    </row>
    <row r="41" spans="2:22" x14ac:dyDescent="0.25">
      <c r="B41" s="57" t="s">
        <v>70</v>
      </c>
      <c r="C41" s="214">
        <v>106</v>
      </c>
      <c r="D41" s="214">
        <v>38</v>
      </c>
      <c r="E41" s="133">
        <f t="shared" si="11"/>
        <v>0.35849056603773582</v>
      </c>
      <c r="F41" s="214">
        <v>130</v>
      </c>
      <c r="G41" s="214">
        <v>30</v>
      </c>
      <c r="H41" s="133">
        <f t="shared" si="9"/>
        <v>0.23076923076923078</v>
      </c>
      <c r="I41" s="214">
        <v>228</v>
      </c>
      <c r="J41" s="214">
        <v>34</v>
      </c>
      <c r="K41" s="133">
        <f t="shared" si="10"/>
        <v>0.14912280701754385</v>
      </c>
      <c r="L41" s="214">
        <f t="shared" si="12"/>
        <v>464</v>
      </c>
      <c r="M41" s="165">
        <f t="shared" si="13"/>
        <v>102</v>
      </c>
      <c r="N41" s="82">
        <f t="shared" si="14"/>
        <v>0.21982758620689655</v>
      </c>
      <c r="O41" s="142"/>
      <c r="P41" s="142"/>
      <c r="Q41" s="142"/>
      <c r="R41" s="142"/>
      <c r="S41" s="142"/>
      <c r="T41" s="142"/>
      <c r="U41" s="142"/>
      <c r="V41" s="142"/>
    </row>
    <row r="42" spans="2:22" x14ac:dyDescent="0.25">
      <c r="B42" s="57" t="s">
        <v>80</v>
      </c>
      <c r="C42" s="214">
        <v>8</v>
      </c>
      <c r="D42" s="214">
        <v>3</v>
      </c>
      <c r="E42" s="133">
        <f t="shared" si="11"/>
        <v>0.375</v>
      </c>
      <c r="F42" s="214">
        <v>2</v>
      </c>
      <c r="G42" s="214">
        <v>0</v>
      </c>
      <c r="H42" s="133">
        <f t="shared" si="9"/>
        <v>0</v>
      </c>
      <c r="I42" s="214">
        <v>1</v>
      </c>
      <c r="J42" s="214">
        <v>0</v>
      </c>
      <c r="K42" s="133">
        <f t="shared" si="10"/>
        <v>0</v>
      </c>
      <c r="L42" s="214">
        <f t="shared" si="12"/>
        <v>11</v>
      </c>
      <c r="M42" s="165">
        <f t="shared" si="13"/>
        <v>3</v>
      </c>
      <c r="N42" s="82">
        <f t="shared" si="14"/>
        <v>0.27272727272727271</v>
      </c>
      <c r="O42" s="142"/>
      <c r="P42" s="142"/>
      <c r="Q42" s="142"/>
      <c r="R42" s="142"/>
      <c r="S42" s="142"/>
      <c r="T42" s="142"/>
      <c r="U42" s="142"/>
      <c r="V42" s="142"/>
    </row>
    <row r="43" spans="2:22" x14ac:dyDescent="0.25">
      <c r="B43" s="57" t="s">
        <v>174</v>
      </c>
      <c r="C43" s="214">
        <v>0</v>
      </c>
      <c r="D43" s="214">
        <v>0</v>
      </c>
      <c r="E43" s="133" t="str">
        <f t="shared" si="11"/>
        <v>-</v>
      </c>
      <c r="F43" s="214">
        <v>0</v>
      </c>
      <c r="G43" s="214">
        <v>0</v>
      </c>
      <c r="H43" s="133" t="str">
        <f t="shared" si="9"/>
        <v>-</v>
      </c>
      <c r="I43" s="214">
        <v>0</v>
      </c>
      <c r="J43" s="214">
        <v>0</v>
      </c>
      <c r="K43" s="133" t="str">
        <f t="shared" si="10"/>
        <v>-</v>
      </c>
      <c r="L43" s="214">
        <f t="shared" si="12"/>
        <v>0</v>
      </c>
      <c r="M43" s="165">
        <f t="shared" si="13"/>
        <v>0</v>
      </c>
      <c r="N43" s="82" t="str">
        <f t="shared" si="14"/>
        <v>-</v>
      </c>
      <c r="O43" s="142"/>
      <c r="P43" s="142"/>
      <c r="Q43" s="142"/>
      <c r="R43" s="142"/>
      <c r="S43" s="142"/>
      <c r="T43" s="142"/>
      <c r="U43" s="142"/>
      <c r="V43" s="142"/>
    </row>
    <row r="44" spans="2:22" x14ac:dyDescent="0.25">
      <c r="B44" s="57" t="s">
        <v>71</v>
      </c>
      <c r="C44" s="214">
        <v>113</v>
      </c>
      <c r="D44" s="214">
        <v>58</v>
      </c>
      <c r="E44" s="133">
        <f t="shared" si="11"/>
        <v>0.51327433628318586</v>
      </c>
      <c r="F44" s="214">
        <v>76</v>
      </c>
      <c r="G44" s="214">
        <v>40</v>
      </c>
      <c r="H44" s="133">
        <f t="shared" si="9"/>
        <v>0.52631578947368418</v>
      </c>
      <c r="I44" s="214">
        <v>157</v>
      </c>
      <c r="J44" s="214">
        <v>38</v>
      </c>
      <c r="K44" s="133">
        <f t="shared" si="10"/>
        <v>0.24203821656050956</v>
      </c>
      <c r="L44" s="214">
        <f t="shared" si="12"/>
        <v>346</v>
      </c>
      <c r="M44" s="165">
        <f t="shared" si="13"/>
        <v>136</v>
      </c>
      <c r="N44" s="82">
        <f t="shared" si="14"/>
        <v>0.39306358381502893</v>
      </c>
      <c r="O44" s="142"/>
      <c r="P44" s="142"/>
      <c r="Q44" s="142"/>
      <c r="R44" s="142"/>
      <c r="S44" s="142"/>
      <c r="T44" s="142"/>
      <c r="U44" s="142"/>
      <c r="V44" s="142"/>
    </row>
    <row r="45" spans="2:22" x14ac:dyDescent="0.25">
      <c r="B45" s="57" t="s">
        <v>72</v>
      </c>
      <c r="C45" s="214">
        <v>67</v>
      </c>
      <c r="D45" s="214">
        <v>26</v>
      </c>
      <c r="E45" s="133">
        <f t="shared" si="11"/>
        <v>0.38805970149253732</v>
      </c>
      <c r="F45" s="214">
        <v>55</v>
      </c>
      <c r="G45" s="214">
        <v>2</v>
      </c>
      <c r="H45" s="133">
        <f t="shared" si="9"/>
        <v>3.6363636363636362E-2</v>
      </c>
      <c r="I45" s="214">
        <v>123</v>
      </c>
      <c r="J45" s="214">
        <v>9</v>
      </c>
      <c r="K45" s="133">
        <f t="shared" si="10"/>
        <v>7.3170731707317069E-2</v>
      </c>
      <c r="L45" s="214">
        <f t="shared" si="12"/>
        <v>245</v>
      </c>
      <c r="M45" s="165">
        <f t="shared" si="13"/>
        <v>37</v>
      </c>
      <c r="N45" s="82">
        <f t="shared" si="14"/>
        <v>0.15102040816326531</v>
      </c>
      <c r="O45" s="142"/>
      <c r="P45" s="142"/>
      <c r="Q45" s="142"/>
      <c r="R45" s="142"/>
      <c r="S45" s="142"/>
      <c r="T45" s="142"/>
      <c r="U45" s="142"/>
      <c r="V45" s="142"/>
    </row>
    <row r="46" spans="2:22" x14ac:dyDescent="0.25">
      <c r="B46" s="57" t="s">
        <v>73</v>
      </c>
      <c r="C46" s="214">
        <v>3</v>
      </c>
      <c r="D46" s="214">
        <v>2</v>
      </c>
      <c r="E46" s="133">
        <f t="shared" si="11"/>
        <v>0.66666666666666663</v>
      </c>
      <c r="F46" s="214">
        <v>5</v>
      </c>
      <c r="G46" s="214">
        <v>1</v>
      </c>
      <c r="H46" s="133">
        <f t="shared" si="9"/>
        <v>0.2</v>
      </c>
      <c r="I46" s="214">
        <v>4</v>
      </c>
      <c r="J46" s="214">
        <v>1</v>
      </c>
      <c r="K46" s="133">
        <f t="shared" si="10"/>
        <v>0.25</v>
      </c>
      <c r="L46" s="214">
        <f t="shared" si="12"/>
        <v>12</v>
      </c>
      <c r="M46" s="165">
        <f t="shared" si="13"/>
        <v>4</v>
      </c>
      <c r="N46" s="82">
        <f t="shared" si="14"/>
        <v>0.33333333333333331</v>
      </c>
      <c r="O46" s="142"/>
      <c r="P46" s="142"/>
      <c r="Q46" s="142"/>
      <c r="R46" s="142"/>
      <c r="S46" s="142"/>
      <c r="T46" s="142"/>
      <c r="U46" s="142"/>
      <c r="V46" s="142"/>
    </row>
    <row r="47" spans="2:22" x14ac:dyDescent="0.25">
      <c r="B47" s="57" t="s">
        <v>74</v>
      </c>
      <c r="C47" s="214">
        <v>65</v>
      </c>
      <c r="D47" s="214">
        <v>12</v>
      </c>
      <c r="E47" s="133">
        <f t="shared" si="11"/>
        <v>0.18461538461538463</v>
      </c>
      <c r="F47" s="214">
        <v>51</v>
      </c>
      <c r="G47" s="214">
        <v>10</v>
      </c>
      <c r="H47" s="133">
        <f t="shared" si="9"/>
        <v>0.19607843137254902</v>
      </c>
      <c r="I47" s="214">
        <v>55</v>
      </c>
      <c r="J47" s="214">
        <v>5</v>
      </c>
      <c r="K47" s="133">
        <f t="shared" si="10"/>
        <v>9.0909090909090912E-2</v>
      </c>
      <c r="L47" s="214">
        <f t="shared" si="12"/>
        <v>171</v>
      </c>
      <c r="M47" s="165">
        <f t="shared" si="13"/>
        <v>27</v>
      </c>
      <c r="N47" s="82">
        <f t="shared" si="14"/>
        <v>0.15789473684210525</v>
      </c>
      <c r="O47" s="142"/>
      <c r="P47" s="142"/>
      <c r="Q47" s="142"/>
      <c r="R47" s="142"/>
      <c r="S47" s="142"/>
      <c r="T47" s="142"/>
      <c r="U47" s="142"/>
      <c r="V47" s="142"/>
    </row>
    <row r="48" spans="2:22" x14ac:dyDescent="0.25">
      <c r="B48" s="57" t="s">
        <v>75</v>
      </c>
      <c r="C48" s="214">
        <v>1709</v>
      </c>
      <c r="D48" s="214">
        <v>518</v>
      </c>
      <c r="E48" s="133">
        <f t="shared" si="11"/>
        <v>0.30310122878876539</v>
      </c>
      <c r="F48" s="214">
        <v>3485</v>
      </c>
      <c r="G48" s="214">
        <v>964</v>
      </c>
      <c r="H48" s="133">
        <f t="shared" si="9"/>
        <v>0.27661406025824964</v>
      </c>
      <c r="I48" s="214">
        <v>3858</v>
      </c>
      <c r="J48" s="214">
        <v>229</v>
      </c>
      <c r="K48" s="133">
        <f t="shared" si="10"/>
        <v>5.9357179885951267E-2</v>
      </c>
      <c r="L48" s="214">
        <f t="shared" si="12"/>
        <v>9052</v>
      </c>
      <c r="M48" s="165">
        <f t="shared" si="13"/>
        <v>1711</v>
      </c>
      <c r="N48" s="82">
        <f t="shared" si="14"/>
        <v>0.1890190013256739</v>
      </c>
      <c r="O48" s="142"/>
      <c r="P48" s="142"/>
      <c r="Q48" s="142"/>
      <c r="R48" s="142"/>
      <c r="S48" s="142"/>
      <c r="T48" s="142"/>
      <c r="U48" s="142"/>
      <c r="V48" s="142"/>
    </row>
    <row r="49" spans="2:22" x14ac:dyDescent="0.25">
      <c r="B49" s="57" t="s">
        <v>77</v>
      </c>
      <c r="C49" s="214">
        <v>35</v>
      </c>
      <c r="D49" s="214">
        <v>21</v>
      </c>
      <c r="E49" s="133">
        <f t="shared" si="11"/>
        <v>0.6</v>
      </c>
      <c r="F49" s="214">
        <v>28</v>
      </c>
      <c r="G49" s="214">
        <v>21</v>
      </c>
      <c r="H49" s="133">
        <f t="shared" si="9"/>
        <v>0.75</v>
      </c>
      <c r="I49" s="214">
        <v>63</v>
      </c>
      <c r="J49" s="214">
        <v>14</v>
      </c>
      <c r="K49" s="133">
        <f t="shared" si="10"/>
        <v>0.22222222222222221</v>
      </c>
      <c r="L49" s="214">
        <f t="shared" si="12"/>
        <v>126</v>
      </c>
      <c r="M49" s="165">
        <f t="shared" si="13"/>
        <v>56</v>
      </c>
      <c r="N49" s="82">
        <f t="shared" si="14"/>
        <v>0.44444444444444442</v>
      </c>
      <c r="O49" s="142"/>
      <c r="P49" s="142"/>
      <c r="Q49" s="142"/>
      <c r="R49" s="142"/>
      <c r="S49" s="142"/>
      <c r="T49" s="142"/>
      <c r="U49" s="142"/>
      <c r="V49" s="142"/>
    </row>
    <row r="50" spans="2:22" x14ac:dyDescent="0.25">
      <c r="B50" s="49" t="s">
        <v>79</v>
      </c>
      <c r="C50" s="8">
        <f>SUM(C39:C49)</f>
        <v>2137</v>
      </c>
      <c r="D50" s="8">
        <f>SUM(D39:D49)</f>
        <v>688</v>
      </c>
      <c r="E50" s="8">
        <f>IFERROR(D50/C50,"-")</f>
        <v>0.32194665418811419</v>
      </c>
      <c r="F50" s="8">
        <f>SUM(F39:F49)</f>
        <v>3849</v>
      </c>
      <c r="G50" s="8">
        <f>SUM(G39:G49)</f>
        <v>1076</v>
      </c>
      <c r="H50" s="8">
        <f t="shared" si="9"/>
        <v>0.27955313068329435</v>
      </c>
      <c r="I50" s="8">
        <f>SUM(I39:I49)</f>
        <v>4526</v>
      </c>
      <c r="J50" s="8">
        <f>SUM(J39:J49)</f>
        <v>336</v>
      </c>
      <c r="K50" s="8">
        <f t="shared" si="10"/>
        <v>7.4237737516570923E-2</v>
      </c>
      <c r="L50" s="8">
        <f>SUM(L39:L49)</f>
        <v>10512</v>
      </c>
      <c r="M50" s="8">
        <f>SUM(M39:M49)</f>
        <v>2100</v>
      </c>
      <c r="N50" s="16">
        <f>+M50/L50</f>
        <v>0.1997716894977169</v>
      </c>
      <c r="O50" s="142"/>
      <c r="P50" s="142"/>
      <c r="Q50" s="142"/>
      <c r="R50" s="142"/>
      <c r="S50" s="142"/>
      <c r="T50" s="142"/>
      <c r="U50" s="142"/>
      <c r="V50" s="142"/>
    </row>
    <row r="51" spans="2:22" x14ac:dyDescent="0.25">
      <c r="B51" s="151" t="s">
        <v>247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</row>
    <row r="52" spans="2:22" x14ac:dyDescent="0.2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</row>
    <row r="53" spans="2:22" x14ac:dyDescent="0.2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</row>
    <row r="54" spans="2:22" x14ac:dyDescent="0.2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</row>
    <row r="55" spans="2:22" x14ac:dyDescent="0.2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</sheetData>
  <mergeCells count="15">
    <mergeCell ref="C37:E37"/>
    <mergeCell ref="F9:H9"/>
    <mergeCell ref="F37:H37"/>
    <mergeCell ref="I9:K9"/>
    <mergeCell ref="I37:K37"/>
    <mergeCell ref="B36:N36"/>
    <mergeCell ref="L9:N9"/>
    <mergeCell ref="L37:N37"/>
    <mergeCell ref="B5:N5"/>
    <mergeCell ref="B1:N1"/>
    <mergeCell ref="B2:N2"/>
    <mergeCell ref="B3:N3"/>
    <mergeCell ref="C9:E9"/>
    <mergeCell ref="B4:N4"/>
    <mergeCell ref="B8:N8"/>
  </mergeCells>
  <pageMargins left="0.7" right="0.7" top="0.75" bottom="0.75" header="0.3" footer="0.3"/>
  <pageSetup paperSize="9" scale="41" orientation="portrait" r:id="rId1"/>
  <colBreaks count="1" manualBreakCount="1">
    <brk id="23" max="1048575" man="1"/>
  </colBreaks>
  <ignoredErrors>
    <ignoredError sqref="N50 N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6"/>
  <sheetViews>
    <sheetView showGridLines="0" tabSelected="1" topLeftCell="A10" zoomScaleNormal="100" zoomScaleSheetLayoutView="100" workbookViewId="0">
      <selection activeCell="B12" sqref="B12"/>
    </sheetView>
  </sheetViews>
  <sheetFormatPr baseColWidth="10" defaultColWidth="11.42578125" defaultRowHeight="15" x14ac:dyDescent="0.25"/>
  <cols>
    <col min="1" max="1" width="12.140625" style="1" customWidth="1"/>
    <col min="2" max="3" width="11.42578125" style="1"/>
    <col min="4" max="4" width="12.140625" style="1" customWidth="1"/>
    <col min="5" max="5" width="13.42578125" style="1" customWidth="1"/>
    <col min="6" max="6" width="14.140625" style="1" customWidth="1"/>
    <col min="7" max="7" width="13.140625" style="1" customWidth="1"/>
    <col min="8" max="16384" width="11.42578125" style="1"/>
  </cols>
  <sheetData>
    <row r="1" spans="1:16" x14ac:dyDescent="0.25">
      <c r="A1" s="306" t="s">
        <v>0</v>
      </c>
      <c r="B1" s="306"/>
      <c r="C1" s="306"/>
      <c r="D1" s="306"/>
      <c r="E1" s="306"/>
      <c r="F1" s="306"/>
      <c r="G1" s="282"/>
    </row>
    <row r="2" spans="1:16" x14ac:dyDescent="0.25">
      <c r="A2" s="306" t="s">
        <v>121</v>
      </c>
      <c r="B2" s="306"/>
      <c r="C2" s="306"/>
      <c r="D2" s="306"/>
      <c r="E2" s="306"/>
      <c r="F2" s="306"/>
      <c r="G2" s="282"/>
    </row>
    <row r="3" spans="1:16" x14ac:dyDescent="0.25">
      <c r="A3" s="306" t="s">
        <v>216</v>
      </c>
      <c r="B3" s="306"/>
      <c r="C3" s="306"/>
      <c r="D3" s="306"/>
      <c r="E3" s="306"/>
      <c r="F3" s="306"/>
      <c r="G3" s="282"/>
    </row>
    <row r="4" spans="1:16" x14ac:dyDescent="0.25">
      <c r="A4" s="306" t="s">
        <v>228</v>
      </c>
      <c r="B4" s="306"/>
      <c r="C4" s="306"/>
      <c r="D4" s="306"/>
      <c r="E4" s="306"/>
      <c r="F4" s="306"/>
      <c r="G4" s="282"/>
    </row>
    <row r="5" spans="1:16" x14ac:dyDescent="0.25">
      <c r="A5" s="306" t="s">
        <v>229</v>
      </c>
      <c r="B5" s="306"/>
      <c r="C5" s="306"/>
      <c r="D5" s="306"/>
      <c r="E5" s="306"/>
      <c r="F5" s="306"/>
      <c r="G5" s="282"/>
      <c r="P5" s="18"/>
    </row>
    <row r="6" spans="1:16" ht="40.5" customHeight="1" x14ac:dyDescent="0.25">
      <c r="A6" s="256" t="s">
        <v>1</v>
      </c>
      <c r="B6" s="257" t="s">
        <v>254</v>
      </c>
      <c r="C6" s="257" t="s">
        <v>2</v>
      </c>
      <c r="D6" s="257" t="s">
        <v>3</v>
      </c>
      <c r="E6" s="257" t="s">
        <v>4</v>
      </c>
      <c r="F6" s="257" t="s">
        <v>5</v>
      </c>
      <c r="G6" s="257" t="s">
        <v>244</v>
      </c>
      <c r="H6"/>
      <c r="I6"/>
      <c r="J6"/>
      <c r="K6"/>
      <c r="L6"/>
      <c r="M6"/>
      <c r="N6"/>
      <c r="O6"/>
    </row>
    <row r="7" spans="1:16" x14ac:dyDescent="0.25">
      <c r="A7" s="296" t="s">
        <v>241</v>
      </c>
      <c r="B7" s="265">
        <v>94008</v>
      </c>
      <c r="C7" s="265">
        <v>30010</v>
      </c>
      <c r="D7" s="286">
        <f t="shared" ref="D7:D23" si="0">+C7/B7</f>
        <v>0.31922815079567696</v>
      </c>
      <c r="E7" s="265">
        <v>63998</v>
      </c>
      <c r="F7" s="286">
        <f t="shared" ref="F7:F23" si="1">+E7/B7</f>
        <v>0.68077184920432299</v>
      </c>
      <c r="G7" s="265">
        <v>52238.16</v>
      </c>
      <c r="H7"/>
      <c r="I7"/>
      <c r="J7"/>
      <c r="K7" s="78"/>
      <c r="L7" s="78"/>
      <c r="M7"/>
      <c r="N7"/>
      <c r="O7"/>
    </row>
    <row r="8" spans="1:16" x14ac:dyDescent="0.25">
      <c r="A8" s="296" t="s">
        <v>83</v>
      </c>
      <c r="B8" s="265">
        <v>94100</v>
      </c>
      <c r="C8" s="265">
        <v>29798</v>
      </c>
      <c r="D8" s="286">
        <f t="shared" si="0"/>
        <v>0.31666312433581295</v>
      </c>
      <c r="E8" s="265">
        <v>64302</v>
      </c>
      <c r="F8" s="286">
        <f t="shared" si="1"/>
        <v>0.68333687566418699</v>
      </c>
      <c r="G8" s="265">
        <v>52112</v>
      </c>
      <c r="H8"/>
      <c r="I8"/>
      <c r="J8"/>
      <c r="K8"/>
      <c r="L8" s="78"/>
      <c r="M8"/>
      <c r="N8"/>
      <c r="O8"/>
    </row>
    <row r="9" spans="1:16" x14ac:dyDescent="0.25">
      <c r="A9" s="287" t="s">
        <v>82</v>
      </c>
      <c r="B9" s="265">
        <v>93880</v>
      </c>
      <c r="C9" s="265">
        <v>29751</v>
      </c>
      <c r="D9" s="286">
        <f t="shared" si="0"/>
        <v>0.31690455901150405</v>
      </c>
      <c r="E9" s="265">
        <v>64129</v>
      </c>
      <c r="F9" s="286">
        <f t="shared" si="1"/>
        <v>0.68309544098849595</v>
      </c>
      <c r="G9" s="265">
        <v>51973</v>
      </c>
      <c r="H9"/>
      <c r="I9"/>
      <c r="J9"/>
      <c r="K9"/>
      <c r="L9"/>
      <c r="M9"/>
      <c r="N9"/>
      <c r="O9"/>
    </row>
    <row r="10" spans="1:16" ht="24" customHeight="1" x14ac:dyDescent="0.25">
      <c r="A10" s="295" t="s">
        <v>240</v>
      </c>
      <c r="B10" s="294">
        <f>+AVERAGE(B7:B9)</f>
        <v>93996</v>
      </c>
      <c r="C10" s="294">
        <f>+AVERAGE(C7:C9)</f>
        <v>29853</v>
      </c>
      <c r="D10" s="16">
        <f t="shared" si="0"/>
        <v>0.31759862121792415</v>
      </c>
      <c r="E10" s="294">
        <f>+AVERAGE(E7:E9)</f>
        <v>64143</v>
      </c>
      <c r="F10" s="16">
        <f t="shared" si="1"/>
        <v>0.68240137878207585</v>
      </c>
      <c r="G10" s="294">
        <f>AVERAGE(G7:G9)</f>
        <v>52107.72</v>
      </c>
      <c r="H10"/>
      <c r="I10"/>
      <c r="J10"/>
      <c r="K10"/>
      <c r="L10" s="288"/>
      <c r="M10"/>
      <c r="N10"/>
      <c r="O10"/>
    </row>
    <row r="11" spans="1:16" hidden="1" x14ac:dyDescent="0.25">
      <c r="A11" s="287" t="s">
        <v>34</v>
      </c>
      <c r="B11" s="265"/>
      <c r="C11" s="265"/>
      <c r="D11" s="286" t="e">
        <f t="shared" si="0"/>
        <v>#DIV/0!</v>
      </c>
      <c r="E11" s="265"/>
      <c r="F11" s="286" t="e">
        <f t="shared" si="1"/>
        <v>#DIV/0!</v>
      </c>
      <c r="G11" s="286"/>
      <c r="H11"/>
      <c r="I11"/>
      <c r="J11"/>
      <c r="K11" s="78"/>
      <c r="L11" s="78"/>
      <c r="M11"/>
      <c r="N11"/>
      <c r="O11"/>
    </row>
    <row r="12" spans="1:16" hidden="1" x14ac:dyDescent="0.25">
      <c r="A12" s="296" t="s">
        <v>35</v>
      </c>
      <c r="B12" s="265"/>
      <c r="C12" s="265"/>
      <c r="D12" s="286" t="e">
        <f t="shared" si="0"/>
        <v>#DIV/0!</v>
      </c>
      <c r="E12" s="265"/>
      <c r="F12" s="286" t="e">
        <f t="shared" si="1"/>
        <v>#DIV/0!</v>
      </c>
      <c r="G12" s="286"/>
      <c r="H12"/>
      <c r="I12"/>
      <c r="J12"/>
      <c r="K12"/>
      <c r="L12" s="78"/>
      <c r="M12"/>
      <c r="N12"/>
      <c r="O12"/>
    </row>
    <row r="13" spans="1:16" hidden="1" x14ac:dyDescent="0.25">
      <c r="A13" s="296" t="s">
        <v>36</v>
      </c>
      <c r="B13" s="265"/>
      <c r="C13" s="265"/>
      <c r="D13" s="286" t="e">
        <f t="shared" si="0"/>
        <v>#DIV/0!</v>
      </c>
      <c r="E13" s="265"/>
      <c r="F13" s="286" t="e">
        <f t="shared" si="1"/>
        <v>#DIV/0!</v>
      </c>
      <c r="G13" s="286"/>
      <c r="H13"/>
      <c r="I13"/>
      <c r="J13"/>
      <c r="K13"/>
      <c r="L13"/>
      <c r="M13"/>
      <c r="N13"/>
      <c r="O13"/>
    </row>
    <row r="14" spans="1:16" ht="24" hidden="1" customHeight="1" x14ac:dyDescent="0.25">
      <c r="A14" s="295" t="s">
        <v>131</v>
      </c>
      <c r="B14" s="294" t="e">
        <f>+AVERAGE(B11:B13)</f>
        <v>#DIV/0!</v>
      </c>
      <c r="C14" s="294" t="e">
        <f>+AVERAGE(C11:C13)</f>
        <v>#DIV/0!</v>
      </c>
      <c r="D14" s="16" t="e">
        <f t="shared" si="0"/>
        <v>#DIV/0!</v>
      </c>
      <c r="E14" s="294" t="e">
        <f>+AVERAGE(E11:E13)</f>
        <v>#DIV/0!</v>
      </c>
      <c r="F14" s="16" t="e">
        <f t="shared" si="1"/>
        <v>#DIV/0!</v>
      </c>
      <c r="G14" s="16"/>
      <c r="H14"/>
      <c r="I14"/>
      <c r="J14"/>
      <c r="K14"/>
      <c r="L14" s="288"/>
      <c r="M14"/>
      <c r="N14"/>
      <c r="O14"/>
    </row>
    <row r="15" spans="1:16" hidden="1" x14ac:dyDescent="0.25">
      <c r="A15" s="287" t="s">
        <v>85</v>
      </c>
      <c r="B15" s="265"/>
      <c r="C15" s="265"/>
      <c r="D15" s="286" t="e">
        <f t="shared" si="0"/>
        <v>#DIV/0!</v>
      </c>
      <c r="E15" s="265"/>
      <c r="F15" s="286" t="e">
        <f t="shared" si="1"/>
        <v>#DIV/0!</v>
      </c>
      <c r="G15" s="286"/>
      <c r="H15"/>
      <c r="I15"/>
      <c r="J15"/>
      <c r="K15" s="78"/>
      <c r="L15" s="78"/>
      <c r="M15"/>
      <c r="N15"/>
      <c r="O15"/>
    </row>
    <row r="16" spans="1:16" hidden="1" x14ac:dyDescent="0.25">
      <c r="A16" s="296" t="s">
        <v>86</v>
      </c>
      <c r="B16" s="265"/>
      <c r="C16" s="265"/>
      <c r="D16" s="286" t="e">
        <f t="shared" si="0"/>
        <v>#DIV/0!</v>
      </c>
      <c r="E16" s="265"/>
      <c r="F16" s="286" t="e">
        <f t="shared" si="1"/>
        <v>#DIV/0!</v>
      </c>
      <c r="G16" s="286"/>
      <c r="H16"/>
      <c r="I16"/>
      <c r="J16"/>
      <c r="K16"/>
      <c r="L16" s="78"/>
      <c r="M16"/>
      <c r="N16"/>
      <c r="O16"/>
    </row>
    <row r="17" spans="1:15" hidden="1" x14ac:dyDescent="0.25">
      <c r="A17" s="296" t="s">
        <v>87</v>
      </c>
      <c r="B17" s="265"/>
      <c r="C17" s="265"/>
      <c r="D17" s="286" t="e">
        <f t="shared" si="0"/>
        <v>#DIV/0!</v>
      </c>
      <c r="E17" s="265"/>
      <c r="F17" s="286" t="e">
        <f t="shared" si="1"/>
        <v>#DIV/0!</v>
      </c>
      <c r="G17" s="286"/>
      <c r="H17"/>
      <c r="I17"/>
      <c r="J17"/>
      <c r="K17"/>
      <c r="L17"/>
      <c r="M17"/>
      <c r="N17"/>
      <c r="O17"/>
    </row>
    <row r="18" spans="1:15" ht="24" hidden="1" customHeight="1" x14ac:dyDescent="0.25">
      <c r="A18" s="295" t="s">
        <v>132</v>
      </c>
      <c r="B18" s="294" t="e">
        <f>+AVERAGE(B15:B17)</f>
        <v>#DIV/0!</v>
      </c>
      <c r="C18" s="294" t="e">
        <f>+AVERAGE(C15:C17)</f>
        <v>#DIV/0!</v>
      </c>
      <c r="D18" s="16" t="e">
        <f t="shared" si="0"/>
        <v>#DIV/0!</v>
      </c>
      <c r="E18" s="294" t="e">
        <f>+AVERAGE(E15:E17)</f>
        <v>#DIV/0!</v>
      </c>
      <c r="F18" s="16" t="e">
        <f t="shared" si="1"/>
        <v>#DIV/0!</v>
      </c>
      <c r="G18" s="16"/>
      <c r="H18"/>
      <c r="I18"/>
      <c r="J18"/>
      <c r="K18"/>
      <c r="L18" s="288"/>
      <c r="M18"/>
      <c r="N18"/>
      <c r="O18"/>
    </row>
    <row r="19" spans="1:15" hidden="1" x14ac:dyDescent="0.25">
      <c r="A19" s="287" t="s">
        <v>88</v>
      </c>
      <c r="B19" s="265"/>
      <c r="C19" s="265"/>
      <c r="D19" s="286" t="e">
        <f t="shared" si="0"/>
        <v>#DIV/0!</v>
      </c>
      <c r="E19" s="265"/>
      <c r="F19" s="286" t="e">
        <f t="shared" si="1"/>
        <v>#DIV/0!</v>
      </c>
      <c r="G19" s="286"/>
      <c r="H19"/>
      <c r="I19"/>
      <c r="J19"/>
      <c r="K19" s="78"/>
      <c r="L19" s="78"/>
      <c r="M19"/>
      <c r="N19"/>
      <c r="O19"/>
    </row>
    <row r="20" spans="1:15" hidden="1" x14ac:dyDescent="0.25">
      <c r="A20" s="296" t="s">
        <v>89</v>
      </c>
      <c r="B20" s="265"/>
      <c r="C20" s="265"/>
      <c r="D20" s="286" t="e">
        <f t="shared" si="0"/>
        <v>#DIV/0!</v>
      </c>
      <c r="E20" s="265"/>
      <c r="F20" s="286" t="e">
        <f t="shared" si="1"/>
        <v>#DIV/0!</v>
      </c>
      <c r="G20" s="286"/>
      <c r="H20"/>
      <c r="I20"/>
      <c r="J20"/>
      <c r="K20"/>
      <c r="L20" s="78"/>
      <c r="M20"/>
      <c r="N20"/>
      <c r="O20"/>
    </row>
    <row r="21" spans="1:15" hidden="1" x14ac:dyDescent="0.25">
      <c r="A21" s="296" t="s">
        <v>90</v>
      </c>
      <c r="B21" s="265"/>
      <c r="C21" s="265"/>
      <c r="D21" s="286" t="e">
        <f t="shared" si="0"/>
        <v>#DIV/0!</v>
      </c>
      <c r="E21" s="265"/>
      <c r="F21" s="286" t="e">
        <f t="shared" si="1"/>
        <v>#DIV/0!</v>
      </c>
      <c r="G21" s="286"/>
      <c r="H21"/>
      <c r="I21"/>
      <c r="J21"/>
      <c r="K21"/>
      <c r="L21"/>
      <c r="M21"/>
      <c r="N21"/>
      <c r="O21"/>
    </row>
    <row r="22" spans="1:15" ht="24" hidden="1" customHeight="1" x14ac:dyDescent="0.25">
      <c r="A22" s="295" t="s">
        <v>133</v>
      </c>
      <c r="B22" s="294" t="e">
        <f>+AVERAGE(B19:B21)</f>
        <v>#DIV/0!</v>
      </c>
      <c r="C22" s="294" t="e">
        <f>+AVERAGE(C19:C21)</f>
        <v>#DIV/0!</v>
      </c>
      <c r="D22" s="16" t="e">
        <f t="shared" si="0"/>
        <v>#DIV/0!</v>
      </c>
      <c r="E22" s="294" t="e">
        <f>+AVERAGE(E19:E21)</f>
        <v>#DIV/0!</v>
      </c>
      <c r="F22" s="16" t="e">
        <f t="shared" si="1"/>
        <v>#DIV/0!</v>
      </c>
      <c r="G22" s="16"/>
      <c r="H22"/>
      <c r="I22"/>
      <c r="J22"/>
      <c r="K22"/>
      <c r="L22" s="288"/>
      <c r="M22"/>
      <c r="N22"/>
      <c r="O22"/>
    </row>
    <row r="23" spans="1:15" hidden="1" x14ac:dyDescent="0.25">
      <c r="A23" s="293" t="s">
        <v>9</v>
      </c>
      <c r="B23" s="292" t="e">
        <f>+AVERAGE(B10,B14,B18,B22)</f>
        <v>#DIV/0!</v>
      </c>
      <c r="C23" s="292" t="e">
        <f>+AVERAGE(C10,C14,C18,C22)</f>
        <v>#DIV/0!</v>
      </c>
      <c r="D23" s="17" t="e">
        <f t="shared" si="0"/>
        <v>#DIV/0!</v>
      </c>
      <c r="E23" s="292" t="e">
        <f>+AVERAGE(E10,E14,E18,E22,)</f>
        <v>#DIV/0!</v>
      </c>
      <c r="F23" s="17" t="e">
        <f t="shared" si="1"/>
        <v>#DIV/0!</v>
      </c>
      <c r="G23" s="17"/>
      <c r="H23"/>
      <c r="I23"/>
      <c r="J23"/>
      <c r="K23"/>
      <c r="L23" s="288"/>
      <c r="M23"/>
      <c r="N23"/>
      <c r="O23"/>
    </row>
    <row r="24" spans="1:15" ht="12" customHeight="1" x14ac:dyDescent="0.25">
      <c r="A24" s="291" t="s">
        <v>172</v>
      </c>
      <c r="B24" s="291"/>
      <c r="C24" s="291"/>
      <c r="D24" s="291"/>
      <c r="E24" s="291"/>
      <c r="F24" s="291"/>
      <c r="G24" s="291"/>
      <c r="H24"/>
      <c r="I24"/>
      <c r="J24"/>
      <c r="K24"/>
      <c r="L24" s="288"/>
      <c r="M24"/>
      <c r="N24"/>
      <c r="O24"/>
    </row>
    <row r="25" spans="1:15" ht="11.25" customHeight="1" x14ac:dyDescent="0.25">
      <c r="A25" s="290" t="s">
        <v>242</v>
      </c>
      <c r="B25" s="266"/>
      <c r="C25"/>
      <c r="D25" s="288"/>
      <c r="E25"/>
      <c r="F25" s="288"/>
      <c r="G25" s="288"/>
      <c r="H25"/>
      <c r="I25"/>
      <c r="J25"/>
      <c r="K25"/>
      <c r="L25" s="288"/>
      <c r="M25"/>
      <c r="N25"/>
      <c r="O25"/>
    </row>
    <row r="26" spans="1:15" x14ac:dyDescent="0.25">
      <c r="A26" s="289"/>
      <c r="B26" s="265"/>
      <c r="C26" s="265"/>
      <c r="D26" s="286"/>
      <c r="E26" s="265"/>
      <c r="F26" s="286"/>
      <c r="G26" s="286"/>
      <c r="H26"/>
      <c r="I26"/>
      <c r="J26"/>
      <c r="K26"/>
      <c r="L26" s="288"/>
      <c r="M26"/>
      <c r="N26"/>
      <c r="O26"/>
    </row>
    <row r="27" spans="1:15" x14ac:dyDescent="0.25">
      <c r="A27" s="287"/>
      <c r="B27" s="265"/>
      <c r="C27" s="265"/>
      <c r="D27" s="286"/>
      <c r="E27" s="265"/>
      <c r="F27" s="286"/>
      <c r="G27" s="286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</sheetData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6"/>
  <sheetViews>
    <sheetView showGridLines="0" tabSelected="1" zoomScaleNormal="100" workbookViewId="0">
      <selection activeCell="B12" sqref="B12"/>
    </sheetView>
  </sheetViews>
  <sheetFormatPr baseColWidth="10" defaultColWidth="11.42578125" defaultRowHeight="15" x14ac:dyDescent="0.25"/>
  <cols>
    <col min="1" max="1" width="12.42578125" style="1" customWidth="1"/>
    <col min="2" max="2" width="14.42578125" style="1" customWidth="1"/>
    <col min="3" max="11" width="11.42578125" style="1"/>
    <col min="12" max="12" width="0" style="1" hidden="1" customWidth="1"/>
    <col min="13" max="13" width="12.7109375" style="1" hidden="1" customWidth="1"/>
    <col min="14" max="15" width="0" style="1" hidden="1" customWidth="1"/>
    <col min="16" max="16384" width="11.42578125" style="1"/>
  </cols>
  <sheetData>
    <row r="1" spans="1:15" x14ac:dyDescent="0.25">
      <c r="A1" s="306" t="s">
        <v>0</v>
      </c>
      <c r="B1" s="306"/>
      <c r="C1" s="306"/>
      <c r="D1" s="306"/>
      <c r="E1" s="306"/>
      <c r="F1" s="306"/>
    </row>
    <row r="2" spans="1:15" x14ac:dyDescent="0.25">
      <c r="A2" s="306" t="s">
        <v>121</v>
      </c>
      <c r="B2" s="306"/>
      <c r="C2" s="306"/>
      <c r="D2" s="306"/>
      <c r="E2" s="306"/>
      <c r="F2" s="306"/>
    </row>
    <row r="3" spans="1:15" x14ac:dyDescent="0.25">
      <c r="A3" s="306" t="s">
        <v>7</v>
      </c>
      <c r="B3" s="306"/>
      <c r="C3" s="306"/>
      <c r="D3" s="306"/>
      <c r="E3" s="306"/>
      <c r="F3" s="306"/>
    </row>
    <row r="4" spans="1:15" x14ac:dyDescent="0.25">
      <c r="A4" s="306" t="s">
        <v>228</v>
      </c>
      <c r="B4" s="306"/>
      <c r="C4" s="306"/>
      <c r="D4" s="306"/>
      <c r="E4" s="306"/>
      <c r="F4" s="306"/>
    </row>
    <row r="5" spans="1:15" x14ac:dyDescent="0.25">
      <c r="A5" s="308" t="s">
        <v>229</v>
      </c>
      <c r="B5" s="308"/>
      <c r="C5" s="308"/>
      <c r="D5" s="308"/>
      <c r="E5" s="308"/>
      <c r="F5" s="308"/>
    </row>
    <row r="6" spans="1:15" ht="30.75" customHeight="1" x14ac:dyDescent="0.25">
      <c r="A6" s="307" t="s">
        <v>163</v>
      </c>
      <c r="B6" s="307"/>
      <c r="C6" s="307"/>
      <c r="D6" s="307"/>
      <c r="E6" s="307"/>
      <c r="F6" s="307"/>
      <c r="G6" s="142"/>
      <c r="H6" s="142"/>
      <c r="I6" s="142"/>
      <c r="J6" s="142"/>
      <c r="K6" s="142"/>
    </row>
    <row r="7" spans="1:15" ht="15" customHeight="1" x14ac:dyDescent="0.25">
      <c r="A7" s="156"/>
      <c r="B7" s="157" t="s">
        <v>48</v>
      </c>
      <c r="C7" s="157" t="s">
        <v>8</v>
      </c>
      <c r="D7" s="157" t="s">
        <v>9</v>
      </c>
      <c r="E7" s="157" t="s">
        <v>97</v>
      </c>
      <c r="F7" s="157" t="s">
        <v>96</v>
      </c>
      <c r="G7" s="142"/>
      <c r="H7" s="142"/>
      <c r="I7" s="142"/>
      <c r="J7" s="142"/>
      <c r="K7" s="142"/>
      <c r="L7" s="1" t="s">
        <v>217</v>
      </c>
    </row>
    <row r="8" spans="1:15" x14ac:dyDescent="0.25">
      <c r="A8" s="57" t="s">
        <v>241</v>
      </c>
      <c r="B8" s="250">
        <v>24309</v>
      </c>
      <c r="C8" s="250">
        <v>5701</v>
      </c>
      <c r="D8" s="19">
        <f>+B8+C8</f>
        <v>30010</v>
      </c>
      <c r="E8" s="20">
        <f>B8/D8</f>
        <v>0.8100299900033322</v>
      </c>
      <c r="F8" s="20">
        <f>+C8/D8</f>
        <v>0.18997000999666777</v>
      </c>
      <c r="G8" s="142"/>
      <c r="H8" s="142"/>
      <c r="I8" s="142"/>
      <c r="J8" s="142"/>
      <c r="K8" s="142"/>
      <c r="L8" s="14">
        <v>29288</v>
      </c>
    </row>
    <row r="9" spans="1:15" x14ac:dyDescent="0.25">
      <c r="A9" s="57" t="s">
        <v>83</v>
      </c>
      <c r="B9" s="250">
        <v>24137</v>
      </c>
      <c r="C9" s="250">
        <v>5661</v>
      </c>
      <c r="D9" s="19">
        <f t="shared" ref="D9:D22" si="0">+B9+C9</f>
        <v>29798</v>
      </c>
      <c r="E9" s="20">
        <f>B9/D9</f>
        <v>0.81002080676555477</v>
      </c>
      <c r="F9" s="20">
        <f>+C9/D9</f>
        <v>0.18997919323444526</v>
      </c>
      <c r="G9" s="142"/>
      <c r="H9" s="142"/>
      <c r="I9" s="142"/>
      <c r="J9" s="142"/>
      <c r="K9" s="142"/>
      <c r="L9" s="14">
        <v>29900</v>
      </c>
      <c r="O9" s="14">
        <f>+D9-D8</f>
        <v>-212</v>
      </c>
    </row>
    <row r="10" spans="1:15" x14ac:dyDescent="0.25">
      <c r="A10" s="57" t="s">
        <v>82</v>
      </c>
      <c r="B10" s="250">
        <v>24099</v>
      </c>
      <c r="C10" s="250">
        <v>5652</v>
      </c>
      <c r="D10" s="19">
        <f>+B10+C10</f>
        <v>29751</v>
      </c>
      <c r="E10" s="20">
        <f>B10/D10</f>
        <v>0.81002319249773114</v>
      </c>
      <c r="F10" s="20">
        <f>+C10/D10</f>
        <v>0.18997680750226884</v>
      </c>
      <c r="G10" s="142"/>
      <c r="H10" s="142"/>
      <c r="I10" s="142"/>
      <c r="J10" s="142"/>
      <c r="K10" s="142"/>
      <c r="L10" s="14">
        <v>30160</v>
      </c>
      <c r="O10" s="14">
        <f>+D10-D9</f>
        <v>-47</v>
      </c>
    </row>
    <row r="11" spans="1:15" ht="25.5" x14ac:dyDescent="0.25">
      <c r="A11" s="154" t="s">
        <v>243</v>
      </c>
      <c r="B11" s="8">
        <f>AVERAGE(B8:B10)</f>
        <v>24181.666666666668</v>
      </c>
      <c r="C11" s="8">
        <f>AVERAGE(C8:C10)</f>
        <v>5671.333333333333</v>
      </c>
      <c r="D11" s="8">
        <f>AVERAGE(D8:D10)</f>
        <v>29853</v>
      </c>
      <c r="E11" s="16">
        <f>+AVERAGE(E8:E10)</f>
        <v>0.81002466308887267</v>
      </c>
      <c r="F11" s="16">
        <f>+AVERAGE(F8:F10)</f>
        <v>0.18997533691112731</v>
      </c>
      <c r="G11" s="142"/>
      <c r="H11" s="142"/>
      <c r="I11" s="142"/>
      <c r="J11" s="142"/>
      <c r="K11" s="142"/>
      <c r="L11" s="14">
        <v>29782.666666666668</v>
      </c>
      <c r="M11" s="79">
        <f>+(D11-L11)/D11*100</f>
        <v>0.23559887895130177</v>
      </c>
      <c r="O11" s="14">
        <f>+D11-L11</f>
        <v>70.333333333332121</v>
      </c>
    </row>
    <row r="12" spans="1:15" hidden="1" x14ac:dyDescent="0.25">
      <c r="A12" s="57" t="s">
        <v>34</v>
      </c>
      <c r="B12" s="158"/>
      <c r="C12" s="158"/>
      <c r="D12" s="19">
        <f>+B12+C12</f>
        <v>0</v>
      </c>
      <c r="E12" s="20" t="e">
        <f>+B12/D12</f>
        <v>#DIV/0!</v>
      </c>
      <c r="F12" s="20" t="e">
        <f>+C12/D12</f>
        <v>#DIV/0!</v>
      </c>
      <c r="G12" s="142"/>
      <c r="H12" s="142"/>
      <c r="I12" s="142"/>
      <c r="J12" s="142"/>
      <c r="K12" s="142"/>
    </row>
    <row r="13" spans="1:15" hidden="1" x14ac:dyDescent="0.25">
      <c r="A13" s="57" t="s">
        <v>35</v>
      </c>
      <c r="B13" s="158"/>
      <c r="C13" s="158"/>
      <c r="D13" s="19">
        <f t="shared" si="0"/>
        <v>0</v>
      </c>
      <c r="E13" s="20" t="e">
        <f>+B13/D13</f>
        <v>#DIV/0!</v>
      </c>
      <c r="F13" s="20" t="e">
        <f>+C13/D13</f>
        <v>#DIV/0!</v>
      </c>
      <c r="G13" s="142"/>
      <c r="H13" s="142"/>
      <c r="I13" s="142"/>
      <c r="J13" s="142"/>
      <c r="K13" s="142"/>
    </row>
    <row r="14" spans="1:15" hidden="1" x14ac:dyDescent="0.25">
      <c r="A14" s="57" t="s">
        <v>36</v>
      </c>
      <c r="B14" s="158"/>
      <c r="C14" s="158"/>
      <c r="D14" s="19">
        <f t="shared" si="0"/>
        <v>0</v>
      </c>
      <c r="E14" s="20" t="e">
        <f>+B14/D14</f>
        <v>#DIV/0!</v>
      </c>
      <c r="F14" s="20" t="e">
        <f>+C14/D14</f>
        <v>#DIV/0!</v>
      </c>
      <c r="G14" s="142"/>
      <c r="H14" s="142"/>
      <c r="I14" s="142"/>
      <c r="J14" s="142"/>
      <c r="K14" s="142"/>
    </row>
    <row r="15" spans="1:15" ht="25.5" hidden="1" x14ac:dyDescent="0.25">
      <c r="A15" s="154" t="s">
        <v>131</v>
      </c>
      <c r="B15" s="8" t="e">
        <f>AVERAGE(B12:B14)</f>
        <v>#DIV/0!</v>
      </c>
      <c r="C15" s="8" t="e">
        <f>AVERAGE(C12:C14)</f>
        <v>#DIV/0!</v>
      </c>
      <c r="D15" s="8">
        <f>AVERAGE(D12:D14)</f>
        <v>0</v>
      </c>
      <c r="E15" s="16" t="e">
        <f>+AVERAGE(E12:E14)</f>
        <v>#DIV/0!</v>
      </c>
      <c r="F15" s="16" t="e">
        <f>+AVERAGE(F12:F14)</f>
        <v>#DIV/0!</v>
      </c>
      <c r="G15" s="142"/>
      <c r="H15" s="142"/>
      <c r="I15" s="142"/>
      <c r="J15" s="142"/>
      <c r="K15" s="142"/>
    </row>
    <row r="16" spans="1:15" hidden="1" x14ac:dyDescent="0.25">
      <c r="A16" s="57" t="s">
        <v>85</v>
      </c>
      <c r="B16" s="158"/>
      <c r="C16" s="158"/>
      <c r="D16" s="19">
        <f t="shared" si="0"/>
        <v>0</v>
      </c>
      <c r="E16" s="20" t="e">
        <f>+B16/D16</f>
        <v>#DIV/0!</v>
      </c>
      <c r="F16" s="20" t="e">
        <f>+C16/D16</f>
        <v>#DIV/0!</v>
      </c>
      <c r="G16" s="142"/>
      <c r="H16" s="142"/>
      <c r="I16" s="142"/>
      <c r="J16" s="142"/>
      <c r="K16" s="142"/>
    </row>
    <row r="17" spans="1:13" hidden="1" x14ac:dyDescent="0.25">
      <c r="A17" s="57" t="s">
        <v>86</v>
      </c>
      <c r="B17" s="158"/>
      <c r="C17" s="158"/>
      <c r="D17" s="19">
        <f t="shared" si="0"/>
        <v>0</v>
      </c>
      <c r="E17" s="20" t="e">
        <f>+B17/D17</f>
        <v>#DIV/0!</v>
      </c>
      <c r="F17" s="20" t="e">
        <f>+C17/D17</f>
        <v>#DIV/0!</v>
      </c>
      <c r="G17" s="142"/>
      <c r="H17" s="142"/>
      <c r="I17" s="142"/>
      <c r="J17" s="142"/>
      <c r="K17" s="142"/>
    </row>
    <row r="18" spans="1:13" hidden="1" x14ac:dyDescent="0.25">
      <c r="A18" s="57" t="s">
        <v>87</v>
      </c>
      <c r="B18" s="158"/>
      <c r="C18" s="158"/>
      <c r="D18" s="19">
        <f t="shared" si="0"/>
        <v>0</v>
      </c>
      <c r="E18" s="20" t="e">
        <f>+B18/D18</f>
        <v>#DIV/0!</v>
      </c>
      <c r="F18" s="20" t="e">
        <f>+C18/D18</f>
        <v>#DIV/0!</v>
      </c>
      <c r="G18" s="142"/>
      <c r="H18" s="142"/>
      <c r="I18" s="142"/>
      <c r="J18" s="142"/>
      <c r="K18" s="142"/>
    </row>
    <row r="19" spans="1:13" ht="25.5" hidden="1" x14ac:dyDescent="0.25">
      <c r="A19" s="154" t="s">
        <v>132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 s="142"/>
      <c r="H19" s="142"/>
      <c r="I19" s="142"/>
      <c r="J19" s="142"/>
      <c r="K19" s="142"/>
    </row>
    <row r="20" spans="1:13" hidden="1" x14ac:dyDescent="0.25">
      <c r="A20" s="57" t="s">
        <v>88</v>
      </c>
      <c r="B20" s="158"/>
      <c r="C20" s="158"/>
      <c r="D20" s="19">
        <f t="shared" si="0"/>
        <v>0</v>
      </c>
      <c r="E20" s="20" t="e">
        <f>+B20/D20</f>
        <v>#DIV/0!</v>
      </c>
      <c r="F20" s="20" t="e">
        <f>+C20/D20</f>
        <v>#DIV/0!</v>
      </c>
      <c r="G20" s="142"/>
      <c r="H20" s="142"/>
      <c r="I20" s="142"/>
      <c r="J20" s="142"/>
      <c r="K20" s="142"/>
    </row>
    <row r="21" spans="1:13" hidden="1" x14ac:dyDescent="0.25">
      <c r="A21" s="57" t="s">
        <v>89</v>
      </c>
      <c r="B21" s="158"/>
      <c r="C21" s="158"/>
      <c r="D21" s="19">
        <f t="shared" si="0"/>
        <v>0</v>
      </c>
      <c r="E21" s="20" t="e">
        <f>+B21/D21</f>
        <v>#DIV/0!</v>
      </c>
      <c r="F21" s="20" t="e">
        <f>+C21/D21</f>
        <v>#DIV/0!</v>
      </c>
      <c r="G21" s="142"/>
      <c r="H21" s="142"/>
      <c r="I21" s="142"/>
      <c r="J21" s="142"/>
      <c r="K21" s="142"/>
    </row>
    <row r="22" spans="1:13" hidden="1" x14ac:dyDescent="0.25">
      <c r="A22" s="57" t="s">
        <v>90</v>
      </c>
      <c r="B22" s="158"/>
      <c r="C22" s="158"/>
      <c r="D22" s="19">
        <f t="shared" si="0"/>
        <v>0</v>
      </c>
      <c r="E22" s="20" t="e">
        <f>+B22/D22</f>
        <v>#DIV/0!</v>
      </c>
      <c r="F22" s="20" t="e">
        <f>+C22/D22</f>
        <v>#DIV/0!</v>
      </c>
      <c r="G22" s="142"/>
      <c r="H22" s="142"/>
      <c r="I22" s="142"/>
      <c r="J22" s="142"/>
      <c r="K22" s="142"/>
    </row>
    <row r="23" spans="1:13" ht="25.5" hidden="1" x14ac:dyDescent="0.25">
      <c r="A23" s="154" t="s">
        <v>133</v>
      </c>
      <c r="B23" s="8" t="e">
        <f t="shared" ref="B23:D24" si="1">AVERAGE(B20:B22)</f>
        <v>#DIV/0!</v>
      </c>
      <c r="C23" s="8" t="e">
        <f t="shared" si="1"/>
        <v>#DIV/0!</v>
      </c>
      <c r="D23" s="8">
        <f t="shared" si="1"/>
        <v>0</v>
      </c>
      <c r="E23" s="16" t="e">
        <f>+AVERAGE(E20:E22)</f>
        <v>#DIV/0!</v>
      </c>
      <c r="F23" s="16" t="e">
        <f>+AVERAGE(F20:F22)</f>
        <v>#DIV/0!</v>
      </c>
      <c r="G23" s="142"/>
      <c r="H23" s="142"/>
      <c r="I23" s="142"/>
      <c r="J23" s="142"/>
      <c r="K23" s="142"/>
    </row>
    <row r="24" spans="1:13" hidden="1" x14ac:dyDescent="0.25">
      <c r="A24" s="30" t="s">
        <v>9</v>
      </c>
      <c r="B24" s="10" t="e">
        <f t="shared" si="1"/>
        <v>#DIV/0!</v>
      </c>
      <c r="C24" s="10" t="e">
        <f t="shared" si="1"/>
        <v>#DIV/0!</v>
      </c>
      <c r="D24" s="17">
        <f t="shared" si="1"/>
        <v>0</v>
      </c>
      <c r="E24" s="10" t="e">
        <f>+AVERAGE(E21:E23)</f>
        <v>#DIV/0!</v>
      </c>
      <c r="F24" s="17" t="e">
        <f>+AVERAGE(F21:F23)</f>
        <v>#DIV/0!</v>
      </c>
      <c r="G24" s="142"/>
      <c r="H24" s="142"/>
      <c r="I24" s="152"/>
      <c r="J24" s="152"/>
      <c r="K24" s="152"/>
    </row>
    <row r="25" spans="1:13" x14ac:dyDescent="0.25">
      <c r="A25" s="151" t="s">
        <v>227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M25" s="14">
        <f>+D11-L11</f>
        <v>70.333333333332121</v>
      </c>
    </row>
    <row r="26" spans="1:13" x14ac:dyDescent="0.25">
      <c r="A26" s="281" t="s">
        <v>242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8"/>
    </row>
    <row r="27" spans="1:13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3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3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3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3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3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x14ac:dyDescent="0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x14ac:dyDescent="0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x14ac:dyDescent="0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</row>
    <row r="39" spans="1:11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5" spans="1:11" x14ac:dyDescent="0.25">
      <c r="A45" s="57"/>
      <c r="B45" s="153"/>
      <c r="C45" s="153"/>
      <c r="D45" s="19"/>
      <c r="E45" s="20"/>
      <c r="F45" s="20"/>
    </row>
    <row r="46" spans="1:11" x14ac:dyDescent="0.25">
      <c r="A46" s="57"/>
      <c r="B46" s="153"/>
      <c r="C46" s="153"/>
      <c r="D46" s="19"/>
      <c r="E46" s="20"/>
      <c r="F46" s="20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7" orientation="portrait" r:id="rId1"/>
  <ignoredErrors>
    <ignoredError sqref="F11 D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2"/>
  <sheetViews>
    <sheetView showGridLines="0" tabSelected="1" zoomScale="115" zoomScaleNormal="115" workbookViewId="0">
      <selection activeCell="B12" sqref="B12"/>
    </sheetView>
  </sheetViews>
  <sheetFormatPr baseColWidth="10" defaultColWidth="11.42578125" defaultRowHeight="15" x14ac:dyDescent="0.25"/>
  <cols>
    <col min="1" max="1" width="11.42578125" style="1"/>
    <col min="2" max="2" width="15" style="1" customWidth="1"/>
    <col min="3" max="3" width="15.42578125" style="1" customWidth="1"/>
    <col min="4" max="4" width="14.7109375" style="1" bestFit="1" customWidth="1"/>
    <col min="5" max="16384" width="11.42578125" style="1"/>
  </cols>
  <sheetData>
    <row r="1" spans="1:11" x14ac:dyDescent="0.25">
      <c r="A1" s="306" t="s">
        <v>0</v>
      </c>
      <c r="B1" s="306"/>
      <c r="C1" s="306"/>
      <c r="D1" s="306"/>
      <c r="E1" s="21"/>
      <c r="F1" s="21"/>
    </row>
    <row r="2" spans="1:11" x14ac:dyDescent="0.25">
      <c r="A2" s="306" t="s">
        <v>121</v>
      </c>
      <c r="B2" s="306"/>
      <c r="C2" s="306"/>
      <c r="D2" s="306"/>
      <c r="E2" s="22"/>
      <c r="F2" s="22"/>
    </row>
    <row r="3" spans="1:11" x14ac:dyDescent="0.25">
      <c r="A3" s="306" t="s">
        <v>12</v>
      </c>
      <c r="B3" s="306"/>
      <c r="C3" s="306"/>
      <c r="D3" s="306"/>
      <c r="E3" s="22"/>
      <c r="F3" s="22"/>
    </row>
    <row r="4" spans="1:11" x14ac:dyDescent="0.25">
      <c r="A4" s="306" t="s">
        <v>228</v>
      </c>
      <c r="B4" s="306"/>
      <c r="C4" s="306"/>
      <c r="D4" s="306"/>
      <c r="E4" s="21"/>
      <c r="F4" s="21"/>
    </row>
    <row r="5" spans="1:11" x14ac:dyDescent="0.25">
      <c r="A5" s="308" t="s">
        <v>229</v>
      </c>
      <c r="B5" s="308"/>
      <c r="C5" s="308"/>
      <c r="D5" s="308"/>
      <c r="E5" s="23"/>
      <c r="F5" s="23"/>
    </row>
    <row r="6" spans="1:11" x14ac:dyDescent="0.25">
      <c r="A6" s="307" t="s">
        <v>171</v>
      </c>
      <c r="B6" s="307"/>
      <c r="C6" s="307"/>
      <c r="D6" s="307"/>
      <c r="E6" s="45"/>
      <c r="F6" s="142"/>
      <c r="G6" s="142"/>
      <c r="H6" s="142"/>
      <c r="I6" s="142"/>
      <c r="J6" s="142"/>
      <c r="K6" s="142"/>
    </row>
    <row r="7" spans="1:11" x14ac:dyDescent="0.25">
      <c r="A7" s="156"/>
      <c r="B7" s="141" t="s">
        <v>136</v>
      </c>
      <c r="C7" s="157" t="s">
        <v>137</v>
      </c>
      <c r="D7" s="157" t="s">
        <v>138</v>
      </c>
      <c r="E7" s="142"/>
      <c r="F7" s="142"/>
      <c r="G7" s="142"/>
      <c r="H7" s="142"/>
      <c r="I7" s="142"/>
      <c r="J7" s="142"/>
      <c r="K7" s="142"/>
    </row>
    <row r="8" spans="1:11" x14ac:dyDescent="0.25">
      <c r="A8" s="57" t="s">
        <v>241</v>
      </c>
      <c r="B8" s="250">
        <v>94791797.129999995</v>
      </c>
      <c r="C8" s="250">
        <v>14164291.529999999</v>
      </c>
      <c r="D8" s="268">
        <f>+B8+C8</f>
        <v>108956088.66</v>
      </c>
      <c r="E8" s="142"/>
      <c r="F8" s="160"/>
      <c r="G8" s="160"/>
      <c r="H8" s="142"/>
      <c r="I8" s="142"/>
      <c r="J8" s="142"/>
      <c r="K8" s="142"/>
    </row>
    <row r="9" spans="1:11" x14ac:dyDescent="0.25">
      <c r="A9" s="57" t="s">
        <v>83</v>
      </c>
      <c r="B9" s="250">
        <v>91937278.599999994</v>
      </c>
      <c r="C9" s="250">
        <v>13737754.27</v>
      </c>
      <c r="D9" s="268">
        <f>+B9+C9</f>
        <v>105675032.86999999</v>
      </c>
      <c r="E9" s="142"/>
      <c r="F9" s="142"/>
      <c r="G9" s="142"/>
      <c r="H9" s="142"/>
      <c r="I9" s="142"/>
      <c r="J9" s="142"/>
      <c r="K9" s="142"/>
    </row>
    <row r="10" spans="1:11" x14ac:dyDescent="0.25">
      <c r="A10" s="57" t="s">
        <v>82</v>
      </c>
      <c r="B10" s="250">
        <v>89905597.849999994</v>
      </c>
      <c r="C10" s="250">
        <v>13434169.35</v>
      </c>
      <c r="D10" s="268">
        <f>+B10+C10</f>
        <v>103339767.19999999</v>
      </c>
      <c r="E10" s="142"/>
      <c r="F10" s="142"/>
      <c r="G10" s="142"/>
      <c r="H10" s="142"/>
      <c r="I10" s="142"/>
      <c r="J10" s="142"/>
      <c r="K10" s="142"/>
    </row>
    <row r="11" spans="1:11" x14ac:dyDescent="0.25">
      <c r="A11" s="29" t="s">
        <v>91</v>
      </c>
      <c r="B11" s="267">
        <f>SUM(B8:B10)</f>
        <v>276634673.57999998</v>
      </c>
      <c r="C11" s="267">
        <f>SUM(C8:C10)</f>
        <v>41336215.149999999</v>
      </c>
      <c r="D11" s="267">
        <f>SUM(D8:D10)</f>
        <v>317970888.72999996</v>
      </c>
      <c r="E11" s="142"/>
      <c r="F11" s="142"/>
      <c r="G11" s="142"/>
      <c r="H11" s="142"/>
      <c r="I11" s="142"/>
      <c r="J11" s="142"/>
      <c r="K11" s="142"/>
    </row>
    <row r="12" spans="1:11" hidden="1" x14ac:dyDescent="0.25">
      <c r="A12" s="57" t="s">
        <v>34</v>
      </c>
      <c r="B12" s="162"/>
      <c r="C12" s="162"/>
      <c r="D12" s="28">
        <f>+B12+C12</f>
        <v>0</v>
      </c>
      <c r="E12" s="142"/>
      <c r="F12" s="160"/>
      <c r="G12" s="160"/>
      <c r="H12" s="142"/>
      <c r="I12" s="142"/>
      <c r="J12" s="142"/>
      <c r="K12" s="142"/>
    </row>
    <row r="13" spans="1:11" hidden="1" x14ac:dyDescent="0.25">
      <c r="A13" s="57" t="s">
        <v>35</v>
      </c>
      <c r="B13" s="162"/>
      <c r="C13" s="162"/>
      <c r="D13" s="28">
        <f>+B13+C13</f>
        <v>0</v>
      </c>
      <c r="E13" s="142"/>
      <c r="F13" s="142"/>
      <c r="G13" s="142"/>
      <c r="H13" s="142"/>
      <c r="I13" s="142"/>
      <c r="J13" s="142"/>
      <c r="K13" s="142"/>
    </row>
    <row r="14" spans="1:11" hidden="1" x14ac:dyDescent="0.25">
      <c r="A14" s="57" t="s">
        <v>36</v>
      </c>
      <c r="B14" s="162"/>
      <c r="C14" s="161"/>
      <c r="D14" s="28">
        <f>+B14+C14</f>
        <v>0</v>
      </c>
      <c r="E14" s="142"/>
      <c r="F14" s="142"/>
      <c r="G14" s="142"/>
      <c r="H14" s="142"/>
      <c r="I14" s="142"/>
      <c r="J14" s="142"/>
      <c r="K14" s="142"/>
    </row>
    <row r="15" spans="1:11" hidden="1" x14ac:dyDescent="0.25">
      <c r="A15" s="29" t="s">
        <v>129</v>
      </c>
      <c r="B15" s="8">
        <f>SUM(B12:B14)</f>
        <v>0</v>
      </c>
      <c r="C15" s="8">
        <f>SUM(C12:C14)</f>
        <v>0</v>
      </c>
      <c r="D15" s="8">
        <f>SUM(D12:D14)</f>
        <v>0</v>
      </c>
      <c r="E15" s="142"/>
      <c r="F15" s="142"/>
      <c r="G15" s="142"/>
      <c r="H15" s="142"/>
      <c r="I15" s="142"/>
      <c r="J15" s="142"/>
      <c r="K15" s="142"/>
    </row>
    <row r="16" spans="1:11" hidden="1" x14ac:dyDescent="0.25">
      <c r="A16" s="57" t="s">
        <v>85</v>
      </c>
      <c r="B16" s="162"/>
      <c r="C16" s="162"/>
      <c r="D16" s="28">
        <f>+B16+C16</f>
        <v>0</v>
      </c>
      <c r="E16" s="142"/>
      <c r="F16" s="160"/>
      <c r="G16" s="160"/>
      <c r="H16" s="142"/>
      <c r="I16" s="142"/>
      <c r="J16" s="142"/>
      <c r="K16" s="142"/>
    </row>
    <row r="17" spans="1:11" hidden="1" x14ac:dyDescent="0.25">
      <c r="A17" s="57" t="s">
        <v>86</v>
      </c>
      <c r="B17" s="162"/>
      <c r="C17" s="162"/>
      <c r="D17" s="28">
        <f>+B17+C17</f>
        <v>0</v>
      </c>
      <c r="E17" s="142"/>
      <c r="F17" s="142"/>
      <c r="G17" s="142"/>
      <c r="H17" s="142"/>
      <c r="I17" s="142"/>
      <c r="J17" s="142"/>
      <c r="K17" s="142"/>
    </row>
    <row r="18" spans="1:11" hidden="1" x14ac:dyDescent="0.25">
      <c r="A18" s="57" t="s">
        <v>87</v>
      </c>
      <c r="B18" s="162"/>
      <c r="C18" s="161"/>
      <c r="D18" s="28">
        <f>+B18+C18</f>
        <v>0</v>
      </c>
      <c r="E18" s="142"/>
      <c r="F18" s="142"/>
      <c r="G18" s="142"/>
      <c r="H18" s="142"/>
      <c r="I18" s="142"/>
      <c r="J18" s="142"/>
      <c r="K18" s="142"/>
    </row>
    <row r="19" spans="1:11" hidden="1" x14ac:dyDescent="0.25">
      <c r="A19" s="29" t="s">
        <v>92</v>
      </c>
      <c r="B19" s="8">
        <f>SUM(B16:B18)</f>
        <v>0</v>
      </c>
      <c r="C19" s="8">
        <f>SUM(C16:C18)</f>
        <v>0</v>
      </c>
      <c r="D19" s="8">
        <f>SUM(D16:D18)</f>
        <v>0</v>
      </c>
      <c r="E19" s="142"/>
      <c r="F19" s="142"/>
      <c r="G19" s="142"/>
      <c r="H19" s="142"/>
      <c r="I19" s="142"/>
      <c r="J19" s="142"/>
      <c r="K19" s="142"/>
    </row>
    <row r="20" spans="1:11" hidden="1" x14ac:dyDescent="0.25">
      <c r="A20" s="57" t="s">
        <v>88</v>
      </c>
      <c r="B20" s="162"/>
      <c r="C20" s="162"/>
      <c r="D20" s="28">
        <f>+B20+C20</f>
        <v>0</v>
      </c>
      <c r="E20" s="142"/>
      <c r="F20" s="160"/>
      <c r="G20" s="160"/>
      <c r="H20" s="142"/>
      <c r="I20" s="142"/>
      <c r="J20" s="142"/>
      <c r="K20" s="142"/>
    </row>
    <row r="21" spans="1:11" hidden="1" x14ac:dyDescent="0.25">
      <c r="A21" s="57" t="s">
        <v>89</v>
      </c>
      <c r="B21" s="162"/>
      <c r="C21" s="162"/>
      <c r="D21" s="28">
        <f>+B21+C21</f>
        <v>0</v>
      </c>
      <c r="E21" s="142"/>
      <c r="F21" s="142"/>
      <c r="G21" s="142"/>
      <c r="H21" s="142"/>
      <c r="I21" s="142"/>
      <c r="J21" s="142"/>
      <c r="K21" s="142"/>
    </row>
    <row r="22" spans="1:11" hidden="1" x14ac:dyDescent="0.25">
      <c r="A22" s="57" t="s">
        <v>90</v>
      </c>
      <c r="B22" s="162"/>
      <c r="C22" s="161"/>
      <c r="D22" s="28">
        <f>+B22+C22</f>
        <v>0</v>
      </c>
      <c r="E22" s="142"/>
      <c r="F22" s="142"/>
      <c r="G22" s="142"/>
      <c r="H22" s="142"/>
      <c r="I22" s="142"/>
      <c r="J22" s="142"/>
      <c r="K22" s="142"/>
    </row>
    <row r="23" spans="1:11" hidden="1" x14ac:dyDescent="0.25">
      <c r="A23" s="29" t="s">
        <v>93</v>
      </c>
      <c r="B23" s="8">
        <f>SUM(B20:B22)</f>
        <v>0</v>
      </c>
      <c r="C23" s="8">
        <f>SUM(C20:C22)</f>
        <v>0</v>
      </c>
      <c r="D23" s="8">
        <f>SUM(D20:D22)</f>
        <v>0</v>
      </c>
      <c r="E23" s="142"/>
      <c r="F23" s="142"/>
      <c r="G23" s="142"/>
      <c r="H23" s="142"/>
      <c r="I23" s="142"/>
      <c r="J23" s="142"/>
      <c r="K23" s="142"/>
    </row>
    <row r="24" spans="1:11" hidden="1" x14ac:dyDescent="0.25">
      <c r="A24" s="30" t="s">
        <v>9</v>
      </c>
      <c r="B24" s="25">
        <f>+B11+B15+B19+B23</f>
        <v>276634673.57999998</v>
      </c>
      <c r="C24" s="25">
        <f>+C11+C15+C19+C23</f>
        <v>41336215.149999999</v>
      </c>
      <c r="D24" s="25">
        <f>+D11+D15+D19+D23</f>
        <v>317970888.72999996</v>
      </c>
      <c r="E24" s="142"/>
      <c r="F24" s="142"/>
      <c r="G24" s="142"/>
      <c r="H24" s="142"/>
      <c r="I24" s="142"/>
      <c r="J24" s="142"/>
      <c r="K24" s="142"/>
    </row>
    <row r="25" spans="1:11" x14ac:dyDescent="0.25">
      <c r="A25" s="163" t="s">
        <v>39</v>
      </c>
      <c r="B25" s="26">
        <f>B11/D11</f>
        <v>0.87000000121048826</v>
      </c>
      <c r="C25" s="26">
        <f>C11/D11</f>
        <v>0.12999999878951185</v>
      </c>
      <c r="D25" s="27"/>
      <c r="E25" s="142"/>
      <c r="F25" s="142"/>
      <c r="G25" s="142"/>
      <c r="H25" s="142"/>
      <c r="I25" s="142"/>
      <c r="J25" s="142"/>
      <c r="K25" s="142"/>
    </row>
    <row r="26" spans="1:11" x14ac:dyDescent="0.25">
      <c r="A26" s="151" t="s">
        <v>227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x14ac:dyDescent="0.25">
      <c r="A27" s="281" t="s">
        <v>242</v>
      </c>
      <c r="B27" s="274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x14ac:dyDescent="0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x14ac:dyDescent="0.25">
      <c r="A34" s="142"/>
      <c r="B34" s="142"/>
      <c r="C34" s="142"/>
      <c r="D34" s="142"/>
      <c r="E34" s="142"/>
      <c r="F34" s="142"/>
      <c r="G34" s="164"/>
      <c r="H34" s="164"/>
      <c r="I34" s="164"/>
      <c r="J34" s="164"/>
      <c r="K34" s="151"/>
    </row>
    <row r="35" spans="1:11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x14ac:dyDescent="0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</row>
    <row r="39" spans="1:11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0" spans="1:11" x14ac:dyDescent="0.2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1:11" x14ac:dyDescent="0.25">
      <c r="A41" s="57"/>
      <c r="B41" s="159"/>
      <c r="C41" s="161"/>
      <c r="D41" s="28"/>
    </row>
    <row r="42" spans="1:11" x14ac:dyDescent="0.25">
      <c r="A42" s="57"/>
      <c r="B42" s="159"/>
      <c r="C42" s="159"/>
      <c r="D42" s="28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4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3"/>
  <sheetViews>
    <sheetView showGridLines="0" tabSelected="1" zoomScale="130" zoomScaleNormal="130" zoomScaleSheetLayoutView="115" workbookViewId="0">
      <selection activeCell="B12" sqref="B12"/>
    </sheetView>
  </sheetViews>
  <sheetFormatPr baseColWidth="10" defaultColWidth="11.42578125" defaultRowHeight="15" x14ac:dyDescent="0.25"/>
  <cols>
    <col min="1" max="1" width="21.42578125" style="1" customWidth="1"/>
    <col min="2" max="2" width="15.71093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7" x14ac:dyDescent="0.25">
      <c r="A1" s="306" t="s">
        <v>0</v>
      </c>
      <c r="B1" s="306"/>
      <c r="C1" s="306"/>
      <c r="D1" s="306"/>
    </row>
    <row r="2" spans="1:7" x14ac:dyDescent="0.25">
      <c r="A2" s="306" t="s">
        <v>121</v>
      </c>
      <c r="B2" s="306"/>
      <c r="C2" s="306"/>
      <c r="D2" s="306"/>
    </row>
    <row r="3" spans="1:7" x14ac:dyDescent="0.25">
      <c r="A3" s="306" t="s">
        <v>10</v>
      </c>
      <c r="B3" s="306"/>
      <c r="C3" s="306"/>
      <c r="D3" s="306"/>
    </row>
    <row r="4" spans="1:7" x14ac:dyDescent="0.25">
      <c r="A4" s="306" t="s">
        <v>228</v>
      </c>
      <c r="B4" s="306"/>
      <c r="C4" s="306"/>
      <c r="D4" s="306"/>
    </row>
    <row r="5" spans="1:7" x14ac:dyDescent="0.25">
      <c r="A5" s="308" t="s">
        <v>229</v>
      </c>
      <c r="B5" s="308"/>
      <c r="C5" s="308"/>
      <c r="D5" s="308"/>
    </row>
    <row r="6" spans="1:7" x14ac:dyDescent="0.25">
      <c r="A6" s="307" t="s">
        <v>10</v>
      </c>
      <c r="B6" s="307"/>
      <c r="C6" s="307"/>
      <c r="D6" s="307"/>
      <c r="E6" s="142"/>
      <c r="F6" s="142"/>
      <c r="G6" s="142"/>
    </row>
    <row r="7" spans="1:7" x14ac:dyDescent="0.25">
      <c r="A7" s="156"/>
      <c r="B7" s="157" t="s">
        <v>11</v>
      </c>
      <c r="C7" s="157" t="s">
        <v>140</v>
      </c>
      <c r="D7" s="157" t="s">
        <v>141</v>
      </c>
      <c r="E7" s="142"/>
      <c r="F7" s="142"/>
      <c r="G7" s="142"/>
    </row>
    <row r="8" spans="1:7" x14ac:dyDescent="0.25">
      <c r="A8" s="57" t="s">
        <v>241</v>
      </c>
      <c r="B8" s="222">
        <v>33000</v>
      </c>
      <c r="C8" s="158">
        <f>+B8-B9</f>
        <v>-633</v>
      </c>
      <c r="D8" s="221">
        <f>+(B8-B9)/B9</f>
        <v>-1.8820800999018821E-2</v>
      </c>
      <c r="E8" s="142"/>
      <c r="F8" s="142"/>
      <c r="G8" s="142"/>
    </row>
    <row r="9" spans="1:7" x14ac:dyDescent="0.25">
      <c r="A9" s="57" t="s">
        <v>83</v>
      </c>
      <c r="B9" s="222">
        <v>33633</v>
      </c>
      <c r="C9" s="158">
        <f>+B9-B10</f>
        <v>1961</v>
      </c>
      <c r="D9" s="20">
        <f>+(B9-B10)/B10</f>
        <v>6.191588785046729E-2</v>
      </c>
      <c r="E9" s="142"/>
      <c r="F9" s="142"/>
      <c r="G9" s="142"/>
    </row>
    <row r="10" spans="1:7" x14ac:dyDescent="0.25">
      <c r="A10" s="57" t="s">
        <v>82</v>
      </c>
      <c r="B10" s="222">
        <v>31672</v>
      </c>
      <c r="C10" s="158">
        <f>+B10-36251</f>
        <v>-4579</v>
      </c>
      <c r="D10" s="20">
        <f>+(B10-33952)/33952</f>
        <v>-6.7153628652214886E-2</v>
      </c>
      <c r="E10" s="142"/>
      <c r="F10" s="142"/>
      <c r="G10" s="142"/>
    </row>
    <row r="11" spans="1:7" x14ac:dyDescent="0.25">
      <c r="A11" s="29" t="s">
        <v>91</v>
      </c>
      <c r="B11" s="8">
        <f>SUM(B8:B10)</f>
        <v>98305</v>
      </c>
      <c r="C11" s="8">
        <f>+B11-102462</f>
        <v>-4157</v>
      </c>
      <c r="D11" s="16">
        <f>(B11-110057)/110057</f>
        <v>-0.10678103164723735</v>
      </c>
      <c r="E11" s="142"/>
      <c r="F11" s="152"/>
      <c r="G11" s="160"/>
    </row>
    <row r="12" spans="1:7" hidden="1" x14ac:dyDescent="0.25">
      <c r="A12" s="57" t="s">
        <v>34</v>
      </c>
      <c r="B12" s="165"/>
      <c r="C12" s="168">
        <f>+B12-B10</f>
        <v>-31672</v>
      </c>
      <c r="D12" s="142"/>
      <c r="E12" s="142"/>
      <c r="F12" s="142"/>
      <c r="G12" s="142"/>
    </row>
    <row r="13" spans="1:7" hidden="1" x14ac:dyDescent="0.25">
      <c r="A13" s="57" t="s">
        <v>35</v>
      </c>
      <c r="B13" s="165"/>
      <c r="C13" s="168">
        <f>+B13-B12</f>
        <v>0</v>
      </c>
      <c r="D13" s="142"/>
      <c r="E13" s="142"/>
      <c r="F13" s="142"/>
      <c r="G13" s="142"/>
    </row>
    <row r="14" spans="1:7" hidden="1" x14ac:dyDescent="0.25">
      <c r="A14" s="57" t="s">
        <v>36</v>
      </c>
      <c r="B14" s="165"/>
      <c r="C14" s="168">
        <f>+B14-B13</f>
        <v>0</v>
      </c>
      <c r="D14" s="142"/>
      <c r="E14" s="142"/>
      <c r="F14" s="142"/>
      <c r="G14" s="142"/>
    </row>
    <row r="15" spans="1:7" hidden="1" x14ac:dyDescent="0.25">
      <c r="A15" s="29" t="s">
        <v>129</v>
      </c>
      <c r="B15" s="8">
        <f>SUM(B12:B14)</f>
        <v>0</v>
      </c>
      <c r="C15" s="77">
        <f>+B15-B11</f>
        <v>-98305</v>
      </c>
      <c r="D15" s="16">
        <f>+(B15-B11)/B11</f>
        <v>-1</v>
      </c>
      <c r="E15" s="142"/>
      <c r="F15" s="152"/>
      <c r="G15" s="142"/>
    </row>
    <row r="16" spans="1:7" hidden="1" x14ac:dyDescent="0.25">
      <c r="A16" s="57" t="s">
        <v>85</v>
      </c>
      <c r="B16" s="165"/>
      <c r="C16" s="168">
        <f>+B16-B14</f>
        <v>0</v>
      </c>
      <c r="D16" s="142"/>
      <c r="E16" s="142"/>
      <c r="F16" s="142"/>
      <c r="G16" s="142"/>
    </row>
    <row r="17" spans="1:7" hidden="1" x14ac:dyDescent="0.25">
      <c r="A17" s="57" t="s">
        <v>86</v>
      </c>
      <c r="B17" s="165"/>
      <c r="C17" s="168">
        <f>+B17-B16</f>
        <v>0</v>
      </c>
      <c r="D17" s="142"/>
      <c r="E17" s="142"/>
      <c r="F17" s="142"/>
      <c r="G17" s="142"/>
    </row>
    <row r="18" spans="1:7" hidden="1" x14ac:dyDescent="0.25">
      <c r="A18" s="57" t="s">
        <v>87</v>
      </c>
      <c r="B18" s="165"/>
      <c r="C18" s="168">
        <f>+B18-B17</f>
        <v>0</v>
      </c>
      <c r="D18" s="142"/>
      <c r="E18" s="142"/>
      <c r="F18" s="142"/>
      <c r="G18" s="142"/>
    </row>
    <row r="19" spans="1:7" hidden="1" x14ac:dyDescent="0.25">
      <c r="A19" s="29" t="s">
        <v>92</v>
      </c>
      <c r="B19" s="8">
        <f>SUM(B16:B18)</f>
        <v>0</v>
      </c>
      <c r="C19" s="77">
        <f>+B19-B15</f>
        <v>0</v>
      </c>
      <c r="D19" s="77" t="e">
        <f>+(B19-B15)/B15</f>
        <v>#DIV/0!</v>
      </c>
      <c r="E19" s="142"/>
      <c r="F19" s="152"/>
      <c r="G19" s="142"/>
    </row>
    <row r="20" spans="1:7" hidden="1" x14ac:dyDescent="0.25">
      <c r="A20" s="57" t="s">
        <v>88</v>
      </c>
      <c r="B20" s="165"/>
      <c r="C20" s="168">
        <f>+B20-B18</f>
        <v>0</v>
      </c>
      <c r="D20" s="142"/>
      <c r="E20" s="142"/>
      <c r="F20" s="142"/>
      <c r="G20" s="142"/>
    </row>
    <row r="21" spans="1:7" hidden="1" x14ac:dyDescent="0.25">
      <c r="A21" s="57" t="s">
        <v>89</v>
      </c>
      <c r="B21" s="165"/>
      <c r="C21" s="168">
        <f>+B21-B20</f>
        <v>0</v>
      </c>
      <c r="D21" s="142"/>
      <c r="E21" s="142"/>
      <c r="F21" s="142"/>
      <c r="G21" s="142"/>
    </row>
    <row r="22" spans="1:7" hidden="1" x14ac:dyDescent="0.25">
      <c r="A22" s="57" t="s">
        <v>90</v>
      </c>
      <c r="B22" s="165"/>
      <c r="C22" s="168">
        <f>+B22-B21</f>
        <v>0</v>
      </c>
      <c r="D22" s="142"/>
      <c r="E22" s="142"/>
      <c r="F22" s="142"/>
      <c r="G22" s="142"/>
    </row>
    <row r="23" spans="1:7" hidden="1" x14ac:dyDescent="0.25">
      <c r="A23" s="29" t="s">
        <v>93</v>
      </c>
      <c r="B23" s="8">
        <f>SUM(B20:B22)</f>
        <v>0</v>
      </c>
      <c r="C23" s="77">
        <f>+B23-B19</f>
        <v>0</v>
      </c>
      <c r="D23" s="77" t="e">
        <f>+(B23-B19)/B19</f>
        <v>#DIV/0!</v>
      </c>
      <c r="E23" s="142"/>
      <c r="F23" s="152"/>
      <c r="G23" s="142"/>
    </row>
    <row r="24" spans="1:7" hidden="1" x14ac:dyDescent="0.25">
      <c r="A24" s="30" t="s">
        <v>9</v>
      </c>
      <c r="B24" s="31">
        <f>+B11+B15+B19+B23</f>
        <v>98305</v>
      </c>
      <c r="C24" s="31"/>
      <c r="D24" s="31"/>
      <c r="E24" s="142"/>
      <c r="F24" s="142"/>
      <c r="G24" s="142"/>
    </row>
    <row r="25" spans="1:7" ht="25.5" customHeight="1" x14ac:dyDescent="0.25">
      <c r="A25" s="309" t="s">
        <v>245</v>
      </c>
      <c r="B25" s="309"/>
      <c r="C25" s="309"/>
      <c r="D25" s="309"/>
      <c r="E25" s="142"/>
      <c r="F25" s="152"/>
      <c r="G25" s="142"/>
    </row>
    <row r="26" spans="1:7" ht="13.5" customHeight="1" x14ac:dyDescent="0.25">
      <c r="A26" s="151" t="s">
        <v>172</v>
      </c>
      <c r="B26" s="220"/>
      <c r="C26" s="220"/>
      <c r="D26" s="220"/>
      <c r="E26" s="142"/>
      <c r="F26" s="142"/>
      <c r="G26" s="142"/>
    </row>
    <row r="27" spans="1:7" ht="12.75" customHeight="1" x14ac:dyDescent="0.25">
      <c r="A27" s="276" t="s">
        <v>242</v>
      </c>
      <c r="B27" s="142"/>
      <c r="C27" s="142"/>
      <c r="D27" s="142"/>
      <c r="E27" s="142"/>
      <c r="F27" s="142"/>
      <c r="G27" s="142"/>
    </row>
    <row r="28" spans="1:7" x14ac:dyDescent="0.25">
      <c r="A28" s="142"/>
      <c r="B28" s="142"/>
      <c r="C28" s="142"/>
      <c r="D28" s="142"/>
      <c r="E28" s="142"/>
      <c r="F28" s="142"/>
      <c r="G28" s="142"/>
    </row>
    <row r="29" spans="1:7" x14ac:dyDescent="0.25">
      <c r="A29" s="142"/>
      <c r="B29" s="142"/>
      <c r="C29" s="142"/>
      <c r="D29" s="142"/>
      <c r="E29" s="142"/>
      <c r="F29" s="142"/>
      <c r="G29" s="142"/>
    </row>
    <row r="30" spans="1:7" x14ac:dyDescent="0.25">
      <c r="A30" s="142"/>
      <c r="B30" s="142"/>
      <c r="C30" s="142"/>
      <c r="D30" s="142"/>
      <c r="E30" s="142"/>
      <c r="F30" s="142"/>
      <c r="G30" s="142"/>
    </row>
    <row r="31" spans="1:7" x14ac:dyDescent="0.25">
      <c r="A31" s="142"/>
      <c r="B31" s="142"/>
      <c r="C31" s="142"/>
      <c r="D31" s="142"/>
      <c r="E31" s="142"/>
      <c r="F31" s="142"/>
      <c r="G31" s="142"/>
    </row>
    <row r="32" spans="1:7" x14ac:dyDescent="0.25">
      <c r="A32" s="142"/>
      <c r="B32" s="142"/>
      <c r="C32" s="142"/>
      <c r="D32" s="142"/>
      <c r="E32" s="142"/>
      <c r="F32" s="142"/>
      <c r="G32" s="142"/>
    </row>
    <row r="33" spans="1:7" x14ac:dyDescent="0.25">
      <c r="A33" s="142"/>
      <c r="B33" s="142"/>
      <c r="C33" s="142"/>
      <c r="D33" s="142"/>
      <c r="E33" s="142"/>
      <c r="F33" s="142"/>
      <c r="G33" s="142"/>
    </row>
    <row r="34" spans="1:7" x14ac:dyDescent="0.25">
      <c r="A34" s="142"/>
      <c r="B34" s="142"/>
      <c r="C34" s="142"/>
      <c r="D34" s="142"/>
      <c r="E34" s="142"/>
      <c r="F34" s="142"/>
      <c r="G34" s="142"/>
    </row>
    <row r="35" spans="1:7" x14ac:dyDescent="0.25">
      <c r="A35" s="142"/>
      <c r="B35" s="142"/>
      <c r="C35" s="142"/>
      <c r="D35" s="142"/>
      <c r="E35" s="142"/>
      <c r="F35" s="142"/>
      <c r="G35" s="142"/>
    </row>
    <row r="36" spans="1:7" x14ac:dyDescent="0.25">
      <c r="A36" s="142"/>
      <c r="B36" s="142"/>
      <c r="C36" s="142"/>
      <c r="D36" s="142"/>
      <c r="E36" s="142"/>
      <c r="F36" s="142"/>
      <c r="G36" s="142"/>
    </row>
    <row r="37" spans="1:7" x14ac:dyDescent="0.25">
      <c r="A37" s="142"/>
      <c r="B37" s="142"/>
      <c r="C37" s="142"/>
      <c r="D37" s="142"/>
      <c r="E37" s="142"/>
      <c r="F37" s="142"/>
      <c r="G37" s="142"/>
    </row>
    <row r="38" spans="1:7" x14ac:dyDescent="0.25">
      <c r="A38" s="142"/>
      <c r="B38" s="142"/>
      <c r="C38" s="142"/>
      <c r="D38" s="142"/>
      <c r="E38" s="142"/>
      <c r="F38" s="142"/>
      <c r="G38" s="142"/>
    </row>
    <row r="39" spans="1:7" x14ac:dyDescent="0.25">
      <c r="A39" s="142"/>
      <c r="B39" s="142"/>
      <c r="C39" s="142"/>
      <c r="D39" s="142"/>
      <c r="E39" s="142"/>
      <c r="F39" s="142"/>
      <c r="G39" s="142"/>
    </row>
    <row r="40" spans="1:7" x14ac:dyDescent="0.25">
      <c r="A40" s="142"/>
      <c r="B40" s="142"/>
      <c r="C40" s="142"/>
      <c r="D40" s="142"/>
      <c r="E40" s="142"/>
      <c r="F40" s="142"/>
      <c r="G40" s="142"/>
    </row>
    <row r="42" spans="1:7" x14ac:dyDescent="0.25">
      <c r="A42" s="57"/>
      <c r="B42" s="166"/>
      <c r="C42" s="158"/>
      <c r="D42" s="167"/>
    </row>
    <row r="43" spans="1:7" x14ac:dyDescent="0.25">
      <c r="A43" s="57"/>
      <c r="B43" s="165"/>
      <c r="C43" s="158"/>
      <c r="D43" s="20"/>
    </row>
  </sheetData>
  <mergeCells count="7">
    <mergeCell ref="A25:D25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showGridLines="0" tabSelected="1" zoomScaleNormal="100" workbookViewId="0">
      <selection activeCell="B12" sqref="B12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4" width="20.42578125" style="1" customWidth="1"/>
    <col min="5" max="16384" width="11.42578125" style="1"/>
  </cols>
  <sheetData>
    <row r="1" spans="1:7" x14ac:dyDescent="0.25">
      <c r="A1" s="310" t="s">
        <v>0</v>
      </c>
      <c r="B1" s="310"/>
      <c r="C1" s="310"/>
      <c r="D1" s="285"/>
      <c r="E1" s="22"/>
      <c r="F1" s="22"/>
      <c r="G1" s="22"/>
    </row>
    <row r="2" spans="1:7" x14ac:dyDescent="0.25">
      <c r="A2" s="306" t="s">
        <v>121</v>
      </c>
      <c r="B2" s="306"/>
      <c r="C2" s="306"/>
      <c r="D2" s="282"/>
      <c r="E2" s="22"/>
      <c r="F2" s="22"/>
      <c r="G2" s="22"/>
    </row>
    <row r="3" spans="1:7" x14ac:dyDescent="0.25">
      <c r="A3" s="306" t="s">
        <v>179</v>
      </c>
      <c r="B3" s="306"/>
      <c r="C3" s="306"/>
      <c r="D3" s="282"/>
      <c r="E3" s="22"/>
      <c r="F3" s="22"/>
      <c r="G3" s="22"/>
    </row>
    <row r="4" spans="1:7" x14ac:dyDescent="0.25">
      <c r="A4" s="310" t="s">
        <v>228</v>
      </c>
      <c r="B4" s="310"/>
      <c r="C4" s="310"/>
      <c r="D4" s="285"/>
      <c r="E4" s="21"/>
      <c r="F4" s="22"/>
      <c r="G4" s="22"/>
    </row>
    <row r="5" spans="1:7" x14ac:dyDescent="0.25">
      <c r="A5" s="308" t="s">
        <v>229</v>
      </c>
      <c r="B5" s="308"/>
      <c r="C5" s="308"/>
      <c r="D5" s="284"/>
      <c r="E5" s="23"/>
      <c r="F5" s="23"/>
      <c r="G5" s="23"/>
    </row>
    <row r="6" spans="1:7" ht="15" customHeight="1" x14ac:dyDescent="0.25">
      <c r="A6" s="307" t="s">
        <v>179</v>
      </c>
      <c r="B6" s="307"/>
      <c r="C6" s="307"/>
      <c r="D6" s="283"/>
      <c r="E6" s="45"/>
      <c r="F6" s="45"/>
      <c r="G6" s="24"/>
    </row>
    <row r="7" spans="1:7" x14ac:dyDescent="0.25">
      <c r="A7" s="156" t="s">
        <v>1</v>
      </c>
      <c r="B7" s="141" t="s">
        <v>180</v>
      </c>
      <c r="C7" s="141" t="s">
        <v>181</v>
      </c>
      <c r="D7" s="297" t="s">
        <v>255</v>
      </c>
      <c r="E7" s="142"/>
      <c r="F7" s="142"/>
    </row>
    <row r="8" spans="1:7" x14ac:dyDescent="0.25">
      <c r="A8" s="57" t="s">
        <v>241</v>
      </c>
      <c r="B8" s="169">
        <v>0</v>
      </c>
      <c r="C8" s="169">
        <v>5</v>
      </c>
      <c r="D8" s="298">
        <v>9773793.9100000001</v>
      </c>
      <c r="E8" s="142"/>
      <c r="F8" s="142"/>
    </row>
    <row r="9" spans="1:7" x14ac:dyDescent="0.25">
      <c r="A9" s="57" t="s">
        <v>83</v>
      </c>
      <c r="B9" s="169">
        <v>223</v>
      </c>
      <c r="C9" s="169">
        <v>3</v>
      </c>
      <c r="D9" s="298">
        <v>182155434</v>
      </c>
      <c r="E9" s="142"/>
      <c r="F9" s="142"/>
      <c r="G9" s="57"/>
    </row>
    <row r="10" spans="1:7" x14ac:dyDescent="0.25">
      <c r="A10" s="57" t="s">
        <v>82</v>
      </c>
      <c r="B10" s="169">
        <v>0</v>
      </c>
      <c r="C10" s="169">
        <v>3</v>
      </c>
      <c r="D10" s="298">
        <v>13255909.99</v>
      </c>
      <c r="E10" s="142"/>
      <c r="F10" s="142"/>
      <c r="G10" s="57"/>
    </row>
    <row r="11" spans="1:7" x14ac:dyDescent="0.25">
      <c r="A11" s="29" t="s">
        <v>91</v>
      </c>
      <c r="B11" s="8">
        <f>SUM(B8:B10)</f>
        <v>223</v>
      </c>
      <c r="C11" s="8">
        <f>SUM(C8:C10)</f>
        <v>11</v>
      </c>
      <c r="D11" s="8">
        <f>SUM(D8:D10)</f>
        <v>205185137.90000001</v>
      </c>
      <c r="E11" s="142"/>
      <c r="F11" s="142"/>
      <c r="G11" s="57"/>
    </row>
    <row r="12" spans="1:7" hidden="1" x14ac:dyDescent="0.25">
      <c r="A12" s="57" t="s">
        <v>34</v>
      </c>
      <c r="B12" s="169"/>
      <c r="C12" s="169"/>
      <c r="D12" s="169"/>
      <c r="E12" s="142"/>
      <c r="F12" s="142"/>
    </row>
    <row r="13" spans="1:7" hidden="1" x14ac:dyDescent="0.25">
      <c r="A13" s="57" t="s">
        <v>35</v>
      </c>
      <c r="B13" s="169"/>
      <c r="C13" s="169"/>
      <c r="D13" s="169"/>
      <c r="E13" s="142"/>
      <c r="F13" s="142"/>
    </row>
    <row r="14" spans="1:7" hidden="1" x14ac:dyDescent="0.25">
      <c r="A14" s="57" t="s">
        <v>36</v>
      </c>
      <c r="B14" s="169"/>
      <c r="C14" s="169"/>
      <c r="D14" s="169"/>
      <c r="E14" s="142"/>
      <c r="F14" s="142"/>
    </row>
    <row r="15" spans="1:7" hidden="1" x14ac:dyDescent="0.25">
      <c r="A15" s="29" t="s">
        <v>134</v>
      </c>
      <c r="B15" s="8">
        <f>SUM(B12:B14)</f>
        <v>0</v>
      </c>
      <c r="C15" s="8">
        <f>SUM(C12:C14)</f>
        <v>0</v>
      </c>
      <c r="D15" s="8"/>
      <c r="E15" s="142"/>
      <c r="F15" s="142"/>
    </row>
    <row r="16" spans="1:7" hidden="1" x14ac:dyDescent="0.25">
      <c r="A16" s="57" t="s">
        <v>85</v>
      </c>
      <c r="B16" s="169"/>
      <c r="C16" s="169"/>
      <c r="D16" s="169"/>
      <c r="E16" s="142"/>
      <c r="F16" s="142"/>
    </row>
    <row r="17" spans="1:6" hidden="1" x14ac:dyDescent="0.25">
      <c r="A17" s="57" t="s">
        <v>86</v>
      </c>
      <c r="B17" s="169"/>
      <c r="C17" s="169"/>
      <c r="D17" s="169"/>
      <c r="E17" s="142"/>
      <c r="F17" s="142"/>
    </row>
    <row r="18" spans="1:6" hidden="1" x14ac:dyDescent="0.25">
      <c r="A18" s="57" t="s">
        <v>87</v>
      </c>
      <c r="B18" s="169"/>
      <c r="C18" s="169"/>
      <c r="D18" s="169"/>
      <c r="E18" s="142"/>
      <c r="F18" s="142"/>
    </row>
    <row r="19" spans="1:6" hidden="1" x14ac:dyDescent="0.25">
      <c r="A19" s="29" t="s">
        <v>135</v>
      </c>
      <c r="B19" s="8">
        <f>SUM(B16:B18)</f>
        <v>0</v>
      </c>
      <c r="C19" s="8">
        <f>SUM(C16:C18)</f>
        <v>0</v>
      </c>
      <c r="D19" s="8"/>
      <c r="E19" s="142"/>
      <c r="F19" s="142"/>
    </row>
    <row r="20" spans="1:6" hidden="1" x14ac:dyDescent="0.25">
      <c r="A20" s="57" t="s">
        <v>88</v>
      </c>
      <c r="B20" s="169"/>
      <c r="C20" s="169"/>
      <c r="D20" s="169"/>
      <c r="E20" s="142"/>
      <c r="F20" s="142"/>
    </row>
    <row r="21" spans="1:6" hidden="1" x14ac:dyDescent="0.25">
      <c r="A21" s="57" t="s">
        <v>89</v>
      </c>
      <c r="B21" s="169"/>
      <c r="C21" s="169"/>
      <c r="D21" s="169"/>
      <c r="E21" s="142"/>
      <c r="F21" s="142"/>
    </row>
    <row r="22" spans="1:6" hidden="1" x14ac:dyDescent="0.25">
      <c r="A22" s="57" t="s">
        <v>90</v>
      </c>
      <c r="B22" s="169"/>
      <c r="C22" s="169"/>
      <c r="D22" s="169"/>
      <c r="E22" s="142"/>
      <c r="F22" s="142"/>
    </row>
    <row r="23" spans="1:6" hidden="1" x14ac:dyDescent="0.25">
      <c r="A23" s="29" t="s">
        <v>125</v>
      </c>
      <c r="B23" s="8">
        <f>SUM(B20:B22)</f>
        <v>0</v>
      </c>
      <c r="C23" s="8">
        <f>SUM(C20:C22)</f>
        <v>0</v>
      </c>
      <c r="D23" s="8"/>
      <c r="E23" s="142"/>
      <c r="F23" s="142"/>
    </row>
    <row r="24" spans="1:6" hidden="1" x14ac:dyDescent="0.25">
      <c r="A24" s="30" t="s">
        <v>9</v>
      </c>
      <c r="B24" s="32"/>
      <c r="C24" s="32"/>
      <c r="D24" s="32"/>
      <c r="E24" s="142"/>
      <c r="F24" s="142"/>
    </row>
    <row r="25" spans="1:6" x14ac:dyDescent="0.25">
      <c r="A25" s="151" t="s">
        <v>172</v>
      </c>
      <c r="B25" s="142"/>
      <c r="C25" s="142"/>
      <c r="D25" s="142"/>
      <c r="E25" s="142"/>
      <c r="F25" s="142"/>
    </row>
    <row r="26" spans="1:6" x14ac:dyDescent="0.25">
      <c r="A26" s="281" t="s">
        <v>242</v>
      </c>
      <c r="B26" s="142"/>
      <c r="C26" s="142"/>
      <c r="D26" s="142"/>
      <c r="E26" s="142"/>
      <c r="F26" s="142"/>
    </row>
    <row r="27" spans="1:6" x14ac:dyDescent="0.25">
      <c r="A27" s="142"/>
      <c r="B27" s="142"/>
      <c r="C27" s="142"/>
      <c r="D27" s="142"/>
      <c r="E27" s="142"/>
      <c r="F27" s="142"/>
    </row>
    <row r="28" spans="1:6" x14ac:dyDescent="0.25">
      <c r="A28" s="142"/>
      <c r="B28" s="142"/>
      <c r="C28" s="142"/>
      <c r="D28" s="142"/>
      <c r="E28" s="142"/>
      <c r="F28" s="142"/>
    </row>
    <row r="29" spans="1:6" x14ac:dyDescent="0.25">
      <c r="A29" s="142"/>
      <c r="B29" s="142"/>
      <c r="C29" s="142"/>
      <c r="D29" s="142"/>
      <c r="E29" s="142"/>
      <c r="F29" s="142"/>
    </row>
    <row r="30" spans="1:6" x14ac:dyDescent="0.25">
      <c r="A30" s="142"/>
      <c r="B30" s="142"/>
      <c r="C30" s="142"/>
      <c r="D30" s="142"/>
      <c r="E30" s="142"/>
      <c r="F30" s="142"/>
    </row>
    <row r="31" spans="1:6" x14ac:dyDescent="0.25">
      <c r="A31" s="142"/>
      <c r="B31" s="142"/>
      <c r="C31" s="142"/>
      <c r="D31" s="142"/>
      <c r="E31" s="142"/>
      <c r="F31" s="142"/>
    </row>
    <row r="32" spans="1:6" x14ac:dyDescent="0.25">
      <c r="A32" s="142"/>
      <c r="B32" s="142"/>
      <c r="C32" s="142"/>
      <c r="D32" s="142"/>
      <c r="E32" s="142"/>
      <c r="F32" s="142"/>
    </row>
    <row r="33" spans="1:6" x14ac:dyDescent="0.25">
      <c r="A33" s="142"/>
      <c r="B33" s="142"/>
      <c r="C33" s="142"/>
      <c r="D33" s="142"/>
      <c r="E33" s="57"/>
      <c r="F33" s="297"/>
    </row>
    <row r="34" spans="1:6" x14ac:dyDescent="0.25">
      <c r="A34" s="142"/>
      <c r="B34" s="142"/>
      <c r="C34" s="142"/>
      <c r="D34" s="142"/>
      <c r="E34" s="57"/>
      <c r="F34" s="298"/>
    </row>
    <row r="35" spans="1:6" x14ac:dyDescent="0.25">
      <c r="A35" s="142"/>
      <c r="B35" s="142"/>
      <c r="C35" s="142"/>
      <c r="D35" s="142"/>
      <c r="E35" s="57"/>
      <c r="F35" s="298"/>
    </row>
    <row r="36" spans="1:6" x14ac:dyDescent="0.25">
      <c r="A36" s="142"/>
      <c r="B36" s="142"/>
      <c r="C36" s="142"/>
      <c r="D36" s="142"/>
      <c r="E36" s="142"/>
      <c r="F36" s="298"/>
    </row>
    <row r="37" spans="1:6" x14ac:dyDescent="0.25">
      <c r="A37" s="142"/>
      <c r="B37" s="142"/>
      <c r="C37" s="142"/>
      <c r="D37" s="142"/>
      <c r="E37" s="142"/>
      <c r="F37" s="142"/>
    </row>
    <row r="38" spans="1:6" x14ac:dyDescent="0.25">
      <c r="A38" s="142"/>
      <c r="B38" s="142"/>
      <c r="C38" s="142"/>
      <c r="D38" s="142"/>
      <c r="E38" s="142"/>
      <c r="F38" s="142"/>
    </row>
    <row r="39" spans="1:6" x14ac:dyDescent="0.25">
      <c r="A39" s="142"/>
      <c r="B39" s="142"/>
      <c r="C39" s="142"/>
      <c r="D39" s="142"/>
      <c r="E39" s="142"/>
      <c r="F39" s="142"/>
    </row>
    <row r="40" spans="1:6" x14ac:dyDescent="0.25">
      <c r="A40" s="142"/>
      <c r="B40" s="142"/>
      <c r="C40" s="142"/>
      <c r="D40" s="142"/>
      <c r="E40" s="142"/>
      <c r="F40" s="142"/>
    </row>
    <row r="43" spans="1:6" x14ac:dyDescent="0.25">
      <c r="A43" s="57"/>
      <c r="B43" s="169"/>
      <c r="C43" s="169"/>
      <c r="D43" s="169"/>
    </row>
    <row r="44" spans="1:6" x14ac:dyDescent="0.25">
      <c r="A44" s="57"/>
      <c r="B44" s="169"/>
      <c r="C44" s="169"/>
      <c r="D44" s="169"/>
    </row>
  </sheetData>
  <mergeCells count="6">
    <mergeCell ref="A1:C1"/>
    <mergeCell ref="A6:C6"/>
    <mergeCell ref="A3:C3"/>
    <mergeCell ref="A5:C5"/>
    <mergeCell ref="A2:C2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6"/>
  <sheetViews>
    <sheetView showGridLines="0" tabSelected="1" topLeftCell="A3" zoomScaleNormal="100" workbookViewId="0">
      <selection activeCell="B12" sqref="B12"/>
    </sheetView>
  </sheetViews>
  <sheetFormatPr baseColWidth="10" defaultColWidth="11.42578125" defaultRowHeight="15" x14ac:dyDescent="0.25"/>
  <cols>
    <col min="1" max="1" width="12" style="1" customWidth="1"/>
    <col min="2" max="4" width="18.140625" style="1" customWidth="1"/>
    <col min="5" max="5" width="15.28515625" style="1" customWidth="1"/>
    <col min="6" max="6" width="11.42578125" style="1"/>
    <col min="7" max="7" width="15.140625" style="1" bestFit="1" customWidth="1"/>
    <col min="8" max="8" width="15.5703125" style="1" customWidth="1"/>
    <col min="9" max="16384" width="11.42578125" style="1"/>
  </cols>
  <sheetData>
    <row r="1" spans="1:9" x14ac:dyDescent="0.25">
      <c r="A1" s="304" t="s">
        <v>0</v>
      </c>
      <c r="B1" s="304"/>
      <c r="C1" s="304"/>
      <c r="D1" s="304"/>
      <c r="E1" s="304"/>
      <c r="F1" s="304"/>
      <c r="G1" s="304"/>
      <c r="H1" s="304"/>
    </row>
    <row r="2" spans="1:9" x14ac:dyDescent="0.25">
      <c r="A2" s="304" t="s">
        <v>120</v>
      </c>
      <c r="B2" s="304"/>
      <c r="C2" s="304"/>
      <c r="D2" s="304"/>
      <c r="E2" s="304"/>
      <c r="F2" s="304"/>
      <c r="G2" s="304"/>
      <c r="H2" s="304"/>
    </row>
    <row r="3" spans="1:9" x14ac:dyDescent="0.25">
      <c r="A3" s="304" t="s">
        <v>156</v>
      </c>
      <c r="B3" s="304"/>
      <c r="C3" s="304"/>
      <c r="D3" s="304"/>
      <c r="E3" s="304"/>
      <c r="F3" s="304"/>
      <c r="G3" s="304"/>
      <c r="H3" s="304"/>
    </row>
    <row r="4" spans="1:9" x14ac:dyDescent="0.25">
      <c r="A4" s="304" t="s">
        <v>228</v>
      </c>
      <c r="B4" s="304"/>
      <c r="C4" s="304"/>
      <c r="D4" s="304"/>
      <c r="E4" s="304"/>
      <c r="F4" s="304"/>
      <c r="G4" s="304"/>
      <c r="H4" s="304"/>
    </row>
    <row r="5" spans="1:9" x14ac:dyDescent="0.25">
      <c r="A5" s="305" t="s">
        <v>229</v>
      </c>
      <c r="B5" s="305"/>
      <c r="C5" s="305"/>
      <c r="D5" s="305"/>
      <c r="E5" s="305"/>
      <c r="F5" s="305"/>
      <c r="G5" s="305"/>
      <c r="H5" s="305"/>
    </row>
    <row r="6" spans="1:9" x14ac:dyDescent="0.25">
      <c r="A6" s="170"/>
      <c r="B6" s="314" t="s">
        <v>221</v>
      </c>
      <c r="C6" s="314"/>
      <c r="D6" s="314"/>
      <c r="E6" s="314" t="s">
        <v>223</v>
      </c>
      <c r="F6" s="314"/>
      <c r="G6" s="314"/>
      <c r="H6" s="314"/>
    </row>
    <row r="7" spans="1:9" ht="15" customHeight="1" x14ac:dyDescent="0.25">
      <c r="A7" s="313" t="s">
        <v>1</v>
      </c>
      <c r="B7" s="307" t="s">
        <v>222</v>
      </c>
      <c r="C7" s="307" t="s">
        <v>219</v>
      </c>
      <c r="D7" s="307" t="s">
        <v>220</v>
      </c>
      <c r="E7" s="307" t="s">
        <v>224</v>
      </c>
      <c r="F7" s="307"/>
      <c r="G7" s="307" t="s">
        <v>31</v>
      </c>
      <c r="H7" s="307"/>
    </row>
    <row r="8" spans="1:9" x14ac:dyDescent="0.25">
      <c r="A8" s="313"/>
      <c r="B8" s="307"/>
      <c r="C8" s="307"/>
      <c r="D8" s="307"/>
      <c r="E8" s="307"/>
      <c r="F8" s="307"/>
      <c r="G8" s="307"/>
      <c r="H8" s="307"/>
    </row>
    <row r="9" spans="1:9" x14ac:dyDescent="0.25">
      <c r="A9" s="171"/>
      <c r="B9" s="141" t="s">
        <v>18</v>
      </c>
      <c r="C9" s="141" t="s">
        <v>18</v>
      </c>
      <c r="D9" s="141" t="s">
        <v>18</v>
      </c>
      <c r="E9" s="141" t="s">
        <v>32</v>
      </c>
      <c r="F9" s="141" t="s">
        <v>33</v>
      </c>
      <c r="G9" s="141" t="s">
        <v>32</v>
      </c>
      <c r="H9" s="141" t="s">
        <v>33</v>
      </c>
    </row>
    <row r="10" spans="1:9" hidden="1" x14ac:dyDescent="0.25">
      <c r="A10" s="223" t="s">
        <v>126</v>
      </c>
      <c r="B10" s="222">
        <v>2177248632.73</v>
      </c>
      <c r="C10" s="222">
        <v>274364.36</v>
      </c>
      <c r="D10" s="219">
        <f>+B10+C10</f>
        <v>2177522997.0900002</v>
      </c>
      <c r="E10" s="173">
        <v>2053096606.5</v>
      </c>
      <c r="F10" s="218">
        <f>(E10/D10)</f>
        <v>0.9428587478725684</v>
      </c>
      <c r="G10" s="76">
        <f>+D10-E10</f>
        <v>124426390.59000015</v>
      </c>
      <c r="H10" s="218">
        <f>(G10/D10)</f>
        <v>5.7141252127431576E-2</v>
      </c>
    </row>
    <row r="11" spans="1:9" x14ac:dyDescent="0.25">
      <c r="A11" s="95" t="s">
        <v>84</v>
      </c>
      <c r="B11" s="269">
        <v>2518538976.4299998</v>
      </c>
      <c r="C11" s="269">
        <v>1191643.5500000003</v>
      </c>
      <c r="D11" s="166">
        <v>2580999684.8599997</v>
      </c>
      <c r="E11" s="249">
        <v>2519717805.4300003</v>
      </c>
      <c r="F11" s="2">
        <f t="shared" ref="F11" si="0">(E11/D11)</f>
        <v>0.97625653354803743</v>
      </c>
      <c r="G11" s="76">
        <f>+D11-E11</f>
        <v>61281879.429999352</v>
      </c>
      <c r="H11" s="4">
        <f t="shared" ref="H11" si="1">(G11/D11)</f>
        <v>2.3743466451962562E-2</v>
      </c>
      <c r="I11" s="14"/>
    </row>
    <row r="12" spans="1:9" x14ac:dyDescent="0.25">
      <c r="A12" s="95" t="s">
        <v>83</v>
      </c>
      <c r="B12" s="269">
        <v>2476910526.2399998</v>
      </c>
      <c r="C12" s="222">
        <v>379853.22000000003</v>
      </c>
      <c r="D12" s="166">
        <v>2527681837.2799997</v>
      </c>
      <c r="E12" s="173">
        <v>2466412772.4000001</v>
      </c>
      <c r="F12" s="2">
        <f t="shared" ref="F12" si="2">(E12/D12)</f>
        <v>0.97576076863141514</v>
      </c>
      <c r="G12" s="76">
        <f>+D12-E12</f>
        <v>61269064.879999638</v>
      </c>
      <c r="H12" s="4">
        <f t="shared" ref="H12" si="3">(G12/D12)</f>
        <v>2.4239231368584881E-2</v>
      </c>
    </row>
    <row r="13" spans="1:9" x14ac:dyDescent="0.25">
      <c r="A13" s="95" t="s">
        <v>82</v>
      </c>
      <c r="B13" s="269">
        <v>2514699270.3000002</v>
      </c>
      <c r="C13" s="269">
        <v>0</v>
      </c>
      <c r="D13" s="166">
        <v>2514699270.3000002</v>
      </c>
      <c r="E13" s="216">
        <v>2464307812.48</v>
      </c>
      <c r="F13" s="2">
        <f>(E13/D13)</f>
        <v>0.97996123893813014</v>
      </c>
      <c r="G13" s="137">
        <f>+D13-E13</f>
        <v>50391457.820000172</v>
      </c>
      <c r="H13" s="4">
        <f>(G13/D13)</f>
        <v>2.0038761061869852E-2</v>
      </c>
    </row>
    <row r="14" spans="1:9" x14ac:dyDescent="0.25">
      <c r="A14" s="29" t="s">
        <v>91</v>
      </c>
      <c r="B14" s="85">
        <f>SUM(B11:B13)</f>
        <v>7510148772.9700003</v>
      </c>
      <c r="C14" s="8">
        <f>SUM(C11:C13)</f>
        <v>1571496.7700000003</v>
      </c>
      <c r="D14" s="8">
        <f>SUM(D11:D13)</f>
        <v>7623380792.4399996</v>
      </c>
      <c r="E14" s="8">
        <f>SUM(E11:E13)</f>
        <v>7450438390.3099995</v>
      </c>
      <c r="F14" s="3">
        <f>(E14/D14)</f>
        <v>0.97731421178625832</v>
      </c>
      <c r="G14" s="136">
        <f>SUM(G11:G13)</f>
        <v>172942402.12999916</v>
      </c>
      <c r="H14" s="5">
        <f>(G14/D14)</f>
        <v>2.2685788213741565E-2</v>
      </c>
      <c r="I14" s="18"/>
    </row>
    <row r="15" spans="1:9" hidden="1" x14ac:dyDescent="0.25">
      <c r="A15" s="95" t="s">
        <v>34</v>
      </c>
      <c r="B15" s="146">
        <v>1913412632.9166667</v>
      </c>
      <c r="C15" s="146"/>
      <c r="D15" s="146"/>
      <c r="E15" s="147"/>
      <c r="F15" s="2">
        <f t="shared" ref="F15:F28" si="4">(E15/B15)</f>
        <v>0</v>
      </c>
      <c r="G15" s="76">
        <f>+B15-E15</f>
        <v>1913412632.9166667</v>
      </c>
      <c r="H15" s="4">
        <f t="shared" ref="H15:H27" si="5">(G15/B15)</f>
        <v>1</v>
      </c>
    </row>
    <row r="16" spans="1:9" hidden="1" x14ac:dyDescent="0.25">
      <c r="A16" s="95" t="s">
        <v>35</v>
      </c>
      <c r="B16" s="146">
        <v>1913412632.9166667</v>
      </c>
      <c r="C16" s="146"/>
      <c r="D16" s="146"/>
      <c r="E16" s="147"/>
      <c r="F16" s="2">
        <f t="shared" si="4"/>
        <v>0</v>
      </c>
      <c r="G16" s="76">
        <f>+B16-E16</f>
        <v>1913412632.9166667</v>
      </c>
      <c r="H16" s="4">
        <f t="shared" si="5"/>
        <v>1</v>
      </c>
    </row>
    <row r="17" spans="1:8" hidden="1" x14ac:dyDescent="0.25">
      <c r="A17" s="95" t="s">
        <v>36</v>
      </c>
      <c r="B17" s="146">
        <v>1913412632.9166667</v>
      </c>
      <c r="C17" s="146"/>
      <c r="D17" s="146"/>
      <c r="E17" s="147"/>
      <c r="F17" s="2">
        <f t="shared" si="4"/>
        <v>0</v>
      </c>
      <c r="G17" s="76">
        <f>+B17-E17</f>
        <v>1913412632.9166667</v>
      </c>
      <c r="H17" s="4">
        <f t="shared" si="5"/>
        <v>1</v>
      </c>
    </row>
    <row r="18" spans="1:8" hidden="1" x14ac:dyDescent="0.25">
      <c r="A18" s="29" t="s">
        <v>129</v>
      </c>
      <c r="B18" s="8">
        <f>SUM(B15:B17)</f>
        <v>5740237898.75</v>
      </c>
      <c r="C18" s="8"/>
      <c r="D18" s="8"/>
      <c r="E18" s="8">
        <f>SUM(E15:E17)</f>
        <v>0</v>
      </c>
      <c r="F18" s="3">
        <f t="shared" si="4"/>
        <v>0</v>
      </c>
      <c r="G18" s="13">
        <f>SUM(G15:G17)</f>
        <v>5740237898.75</v>
      </c>
      <c r="H18" s="5">
        <f t="shared" si="5"/>
        <v>1</v>
      </c>
    </row>
    <row r="19" spans="1:8" hidden="1" x14ac:dyDescent="0.25">
      <c r="A19" s="95" t="s">
        <v>130</v>
      </c>
      <c r="B19" s="146">
        <v>1913412632.9166667</v>
      </c>
      <c r="C19" s="146"/>
      <c r="D19" s="146"/>
      <c r="E19" s="147"/>
      <c r="F19" s="2">
        <f t="shared" si="4"/>
        <v>0</v>
      </c>
      <c r="G19" s="76">
        <f>+B19-E19</f>
        <v>1913412632.9166667</v>
      </c>
      <c r="H19" s="4">
        <f t="shared" si="5"/>
        <v>1</v>
      </c>
    </row>
    <row r="20" spans="1:8" hidden="1" x14ac:dyDescent="0.25">
      <c r="A20" s="95" t="s">
        <v>86</v>
      </c>
      <c r="B20" s="146">
        <v>1913412632.9166667</v>
      </c>
      <c r="C20" s="146"/>
      <c r="D20" s="146"/>
      <c r="E20" s="147"/>
      <c r="F20" s="2">
        <f t="shared" si="4"/>
        <v>0</v>
      </c>
      <c r="G20" s="76">
        <f>+B20-E20</f>
        <v>1913412632.9166667</v>
      </c>
      <c r="H20" s="4">
        <f t="shared" si="5"/>
        <v>1</v>
      </c>
    </row>
    <row r="21" spans="1:8" hidden="1" x14ac:dyDescent="0.25">
      <c r="A21" s="95" t="s">
        <v>87</v>
      </c>
      <c r="B21" s="146">
        <v>1913412632.9166667</v>
      </c>
      <c r="C21" s="146"/>
      <c r="D21" s="146"/>
      <c r="E21" s="147"/>
      <c r="F21" s="2">
        <f t="shared" si="4"/>
        <v>0</v>
      </c>
      <c r="G21" s="76">
        <f>+B21-E21</f>
        <v>1913412632.9166667</v>
      </c>
      <c r="H21" s="4">
        <f t="shared" si="5"/>
        <v>1</v>
      </c>
    </row>
    <row r="22" spans="1:8" hidden="1" x14ac:dyDescent="0.25">
      <c r="A22" s="29" t="s">
        <v>92</v>
      </c>
      <c r="B22" s="8">
        <f>SUM(B19:B21)</f>
        <v>5740237898.75</v>
      </c>
      <c r="C22" s="8"/>
      <c r="D22" s="8"/>
      <c r="E22" s="8">
        <f>SUM(E19:E21)</f>
        <v>0</v>
      </c>
      <c r="F22" s="3">
        <f t="shared" si="4"/>
        <v>0</v>
      </c>
      <c r="G22" s="13">
        <f>SUM(G19:G21)</f>
        <v>5740237898.75</v>
      </c>
      <c r="H22" s="5">
        <f t="shared" si="5"/>
        <v>1</v>
      </c>
    </row>
    <row r="23" spans="1:8" hidden="1" x14ac:dyDescent="0.25">
      <c r="A23" s="95" t="s">
        <v>88</v>
      </c>
      <c r="B23" s="146">
        <v>1913412632.9166667</v>
      </c>
      <c r="C23" s="146"/>
      <c r="D23" s="146"/>
      <c r="E23" s="147"/>
      <c r="F23" s="2">
        <f t="shared" si="4"/>
        <v>0</v>
      </c>
      <c r="G23" s="76">
        <f>+B23-E23</f>
        <v>1913412632.9166667</v>
      </c>
      <c r="H23" s="4">
        <f t="shared" si="5"/>
        <v>1</v>
      </c>
    </row>
    <row r="24" spans="1:8" hidden="1" x14ac:dyDescent="0.25">
      <c r="A24" s="95" t="s">
        <v>89</v>
      </c>
      <c r="B24" s="146">
        <v>1913412632.9166667</v>
      </c>
      <c r="C24" s="146"/>
      <c r="D24" s="146"/>
      <c r="E24" s="147"/>
      <c r="F24" s="2">
        <f t="shared" si="4"/>
        <v>0</v>
      </c>
      <c r="G24" s="76">
        <f>+B24-E24</f>
        <v>1913412632.9166667</v>
      </c>
      <c r="H24" s="4">
        <f t="shared" si="5"/>
        <v>1</v>
      </c>
    </row>
    <row r="25" spans="1:8" hidden="1" x14ac:dyDescent="0.25">
      <c r="A25" s="95" t="s">
        <v>90</v>
      </c>
      <c r="B25" s="146">
        <v>1843710155</v>
      </c>
      <c r="C25" s="146"/>
      <c r="D25" s="146"/>
      <c r="E25" s="147"/>
      <c r="F25" s="2">
        <f t="shared" si="4"/>
        <v>0</v>
      </c>
      <c r="G25" s="76">
        <f>+B25-E25</f>
        <v>1843710155</v>
      </c>
      <c r="H25" s="4">
        <f t="shared" si="5"/>
        <v>1</v>
      </c>
    </row>
    <row r="26" spans="1:8" hidden="1" x14ac:dyDescent="0.25">
      <c r="A26" s="95" t="s">
        <v>126</v>
      </c>
      <c r="B26" s="146">
        <v>1913412632.9166667</v>
      </c>
      <c r="C26" s="146"/>
      <c r="D26" s="146"/>
      <c r="E26" s="147"/>
      <c r="F26" s="2">
        <f t="shared" si="4"/>
        <v>0</v>
      </c>
      <c r="G26" s="76">
        <f>+B26-E26</f>
        <v>1913412632.9166667</v>
      </c>
      <c r="H26" s="4">
        <f t="shared" si="5"/>
        <v>1</v>
      </c>
    </row>
    <row r="27" spans="1:8" hidden="1" x14ac:dyDescent="0.25">
      <c r="A27" s="29" t="s">
        <v>93</v>
      </c>
      <c r="B27" s="8">
        <f>SUM(B23:B26)</f>
        <v>7583948053.750001</v>
      </c>
      <c r="C27" s="8"/>
      <c r="D27" s="8"/>
      <c r="E27" s="8">
        <f>SUM(E23:E26)</f>
        <v>0</v>
      </c>
      <c r="F27" s="3">
        <f t="shared" si="4"/>
        <v>0</v>
      </c>
      <c r="G27" s="13">
        <f>SUM(G23:G26)</f>
        <v>7583948053.750001</v>
      </c>
      <c r="H27" s="5">
        <f t="shared" si="5"/>
        <v>1</v>
      </c>
    </row>
    <row r="28" spans="1:8" hidden="1" x14ac:dyDescent="0.25">
      <c r="A28" s="149" t="s">
        <v>9</v>
      </c>
      <c r="B28" s="10">
        <f>+B14+B18+B22+B27</f>
        <v>26574572624.220001</v>
      </c>
      <c r="C28" s="10"/>
      <c r="D28" s="10"/>
      <c r="E28" s="10">
        <f>+E14+E18+E22+E27</f>
        <v>7450438390.3099995</v>
      </c>
      <c r="F28" s="17">
        <f t="shared" si="4"/>
        <v>0.28035966920949418</v>
      </c>
      <c r="G28" s="11">
        <f>+G14+G18+G22+G27</f>
        <v>19237366253.380001</v>
      </c>
      <c r="H28" s="17">
        <v>1</v>
      </c>
    </row>
    <row r="29" spans="1:8" ht="12.75" customHeight="1" x14ac:dyDescent="0.25">
      <c r="A29" s="311" t="s">
        <v>251</v>
      </c>
      <c r="B29" s="311"/>
      <c r="C29" s="311"/>
      <c r="D29" s="311"/>
      <c r="E29" s="311"/>
      <c r="F29" s="311"/>
      <c r="G29" s="311"/>
      <c r="H29" s="311"/>
    </row>
    <row r="30" spans="1:8" ht="10.5" customHeight="1" x14ac:dyDescent="0.25">
      <c r="A30" s="312" t="s">
        <v>252</v>
      </c>
      <c r="B30" s="312"/>
      <c r="C30" s="312"/>
      <c r="D30" s="312"/>
      <c r="E30" s="312"/>
      <c r="F30" s="312"/>
      <c r="G30" s="312"/>
      <c r="H30" s="312"/>
    </row>
    <row r="31" spans="1:8" ht="12.75" customHeight="1" x14ac:dyDescent="0.25">
      <c r="A31" s="311" t="s">
        <v>253</v>
      </c>
      <c r="B31" s="311"/>
      <c r="C31" s="311"/>
      <c r="D31" s="311"/>
      <c r="E31" s="311"/>
      <c r="F31" s="311"/>
      <c r="G31" s="311"/>
      <c r="H31" s="311"/>
    </row>
    <row r="32" spans="1:8" x14ac:dyDescent="0.25">
      <c r="A32" s="275"/>
      <c r="B32" s="274"/>
      <c r="C32" s="142"/>
      <c r="D32" s="142"/>
      <c r="E32" s="142"/>
      <c r="F32" s="142"/>
      <c r="G32" s="142"/>
      <c r="H32" s="142"/>
    </row>
    <row r="33" spans="1:8" x14ac:dyDescent="0.25">
      <c r="A33" s="142"/>
      <c r="B33" s="142"/>
      <c r="C33" s="142"/>
      <c r="D33" s="142"/>
      <c r="E33" s="142"/>
      <c r="F33" s="142"/>
      <c r="G33" s="142"/>
      <c r="H33" s="142"/>
    </row>
    <row r="34" spans="1:8" x14ac:dyDescent="0.25">
      <c r="A34" s="142"/>
      <c r="B34" s="142"/>
      <c r="C34" s="142"/>
      <c r="D34" s="142"/>
      <c r="E34" s="142"/>
      <c r="F34" s="142"/>
      <c r="G34" s="142"/>
      <c r="H34" s="142"/>
    </row>
    <row r="35" spans="1:8" x14ac:dyDescent="0.25">
      <c r="A35" s="142"/>
      <c r="B35" s="142"/>
      <c r="C35" s="142"/>
      <c r="D35" s="142"/>
      <c r="E35" s="142"/>
      <c r="F35" s="142"/>
      <c r="G35" s="142"/>
      <c r="H35" s="142"/>
    </row>
    <row r="36" spans="1:8" x14ac:dyDescent="0.25">
      <c r="A36" s="142"/>
      <c r="B36" s="142"/>
      <c r="C36" s="142"/>
      <c r="D36" s="142"/>
      <c r="E36" s="142"/>
      <c r="F36" s="142"/>
      <c r="G36" s="142"/>
      <c r="H36" s="142"/>
    </row>
    <row r="37" spans="1:8" x14ac:dyDescent="0.25">
      <c r="A37" s="142"/>
      <c r="B37" s="142"/>
      <c r="C37" s="142"/>
      <c r="D37" s="142"/>
      <c r="E37" s="142"/>
      <c r="F37" s="142"/>
      <c r="G37" s="142"/>
      <c r="H37" s="142"/>
    </row>
    <row r="38" spans="1:8" x14ac:dyDescent="0.25">
      <c r="A38" s="142"/>
      <c r="B38" s="142"/>
      <c r="C38" s="142"/>
      <c r="D38" s="142"/>
      <c r="E38" s="142"/>
      <c r="F38" s="142"/>
      <c r="G38" s="142"/>
      <c r="H38" s="142"/>
    </row>
    <row r="39" spans="1:8" x14ac:dyDescent="0.25">
      <c r="A39" s="142"/>
      <c r="B39" s="142"/>
      <c r="C39" s="142"/>
      <c r="D39" s="142"/>
      <c r="E39" s="142"/>
      <c r="F39" s="142"/>
      <c r="G39" s="142"/>
      <c r="H39" s="142"/>
    </row>
    <row r="40" spans="1:8" x14ac:dyDescent="0.25">
      <c r="A40" s="142"/>
      <c r="B40" s="142"/>
      <c r="C40" s="142"/>
      <c r="D40" s="142"/>
      <c r="E40" s="142"/>
      <c r="F40" s="142"/>
      <c r="G40" s="142"/>
      <c r="H40" s="142"/>
    </row>
    <row r="41" spans="1:8" x14ac:dyDescent="0.25">
      <c r="A41" s="142"/>
      <c r="B41" s="142"/>
      <c r="C41" s="142"/>
      <c r="D41" s="142"/>
      <c r="E41" s="142"/>
      <c r="F41" s="142"/>
      <c r="G41" s="142"/>
      <c r="H41" s="142"/>
    </row>
    <row r="42" spans="1:8" x14ac:dyDescent="0.25">
      <c r="A42" s="142"/>
      <c r="B42" s="142"/>
      <c r="C42" s="142"/>
      <c r="D42" s="142"/>
      <c r="E42" s="142"/>
      <c r="F42" s="142"/>
      <c r="G42" s="142"/>
      <c r="H42" s="142"/>
    </row>
    <row r="43" spans="1:8" x14ac:dyDescent="0.25">
      <c r="A43" s="142"/>
      <c r="B43" s="142"/>
      <c r="C43" s="142"/>
      <c r="D43" s="142"/>
      <c r="E43" s="142"/>
      <c r="F43" s="142"/>
      <c r="G43" s="142"/>
      <c r="H43" s="142"/>
    </row>
    <row r="44" spans="1:8" x14ac:dyDescent="0.25">
      <c r="A44" s="142"/>
      <c r="B44" s="142"/>
      <c r="C44" s="142"/>
      <c r="D44" s="142"/>
      <c r="E44" s="142"/>
      <c r="F44" s="142"/>
      <c r="G44" s="142"/>
      <c r="H44" s="142"/>
    </row>
    <row r="45" spans="1:8" x14ac:dyDescent="0.25">
      <c r="A45" s="142"/>
      <c r="B45" s="142"/>
      <c r="C45" s="142"/>
      <c r="D45" s="142"/>
      <c r="E45" s="142"/>
      <c r="F45" s="142"/>
      <c r="G45" s="142"/>
      <c r="H45" s="142"/>
    </row>
    <row r="46" spans="1:8" x14ac:dyDescent="0.25">
      <c r="A46" s="142"/>
      <c r="B46" s="142"/>
      <c r="C46" s="142"/>
      <c r="D46" s="142"/>
      <c r="E46" s="142"/>
      <c r="F46" s="142"/>
      <c r="G46" s="142"/>
      <c r="H46" s="142"/>
    </row>
    <row r="47" spans="1:8" x14ac:dyDescent="0.25">
      <c r="A47" s="142"/>
      <c r="B47" s="142"/>
      <c r="C47" s="142"/>
      <c r="D47" s="142"/>
      <c r="E47" s="142"/>
      <c r="F47" s="142"/>
      <c r="G47" s="142"/>
      <c r="H47" s="142"/>
    </row>
    <row r="48" spans="1:8" x14ac:dyDescent="0.25">
      <c r="A48" s="142"/>
      <c r="B48" s="142"/>
      <c r="C48" s="142"/>
      <c r="D48" s="142"/>
      <c r="E48" s="142"/>
      <c r="F48" s="142"/>
      <c r="G48" s="142"/>
      <c r="H48" s="142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</row>
    <row r="50" spans="1:9" x14ac:dyDescent="0.25">
      <c r="A50" s="142"/>
      <c r="B50" s="142"/>
      <c r="C50" s="142"/>
      <c r="D50" s="142"/>
      <c r="E50" s="142"/>
      <c r="F50" s="142"/>
      <c r="G50" s="142"/>
      <c r="H50" s="142"/>
    </row>
    <row r="51" spans="1:9" x14ac:dyDescent="0.25">
      <c r="A51" s="142"/>
      <c r="B51" s="142"/>
      <c r="C51" s="142"/>
      <c r="D51" s="142"/>
      <c r="E51" s="142"/>
      <c r="F51" s="142"/>
      <c r="G51" s="142"/>
      <c r="H51" s="142"/>
    </row>
    <row r="52" spans="1:9" x14ac:dyDescent="0.25">
      <c r="A52" s="142"/>
      <c r="B52" s="142"/>
      <c r="C52" s="142"/>
      <c r="D52" s="142"/>
      <c r="E52" s="142"/>
      <c r="F52" s="142"/>
      <c r="G52" s="142"/>
      <c r="H52" s="142"/>
    </row>
    <row r="53" spans="1:9" x14ac:dyDescent="0.25">
      <c r="A53" s="142"/>
      <c r="B53" s="142"/>
      <c r="C53" s="142"/>
      <c r="D53" s="142"/>
      <c r="E53" s="142"/>
      <c r="F53" s="142"/>
      <c r="G53" s="142"/>
      <c r="H53" s="142"/>
    </row>
    <row r="54" spans="1:9" x14ac:dyDescent="0.25">
      <c r="B54" s="95"/>
      <c r="C54" s="166"/>
      <c r="D54" s="172"/>
      <c r="E54" s="146"/>
      <c r="F54" s="173"/>
      <c r="G54" s="2"/>
      <c r="H54" s="76"/>
      <c r="I54" s="4"/>
    </row>
    <row r="56" spans="1:9" x14ac:dyDescent="0.25">
      <c r="B56" s="95"/>
      <c r="C56" s="172"/>
      <c r="D56" s="166"/>
      <c r="E56" s="146"/>
      <c r="F56" s="173"/>
      <c r="G56" s="2"/>
      <c r="H56" s="137"/>
      <c r="I56" s="4"/>
    </row>
  </sheetData>
  <mergeCells count="16">
    <mergeCell ref="A31:H31"/>
    <mergeCell ref="A29:H29"/>
    <mergeCell ref="A30:H30"/>
    <mergeCell ref="A1:H1"/>
    <mergeCell ref="A2:H2"/>
    <mergeCell ref="A3:H3"/>
    <mergeCell ref="A5:H5"/>
    <mergeCell ref="E7:F8"/>
    <mergeCell ref="G7:H8"/>
    <mergeCell ref="B7:B8"/>
    <mergeCell ref="A7:A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7"/>
  <sheetViews>
    <sheetView showGridLines="0" tabSelected="1" zoomScaleNormal="100" zoomScaleSheetLayoutView="130" workbookViewId="0">
      <selection activeCell="B12" sqref="B12"/>
    </sheetView>
  </sheetViews>
  <sheetFormatPr baseColWidth="10" defaultColWidth="11.42578125" defaultRowHeight="15" x14ac:dyDescent="0.25"/>
  <cols>
    <col min="1" max="1" width="12.28515625" style="1" customWidth="1"/>
    <col min="2" max="2" width="11" style="1" customWidth="1"/>
    <col min="3" max="3" width="11.42578125" style="1" customWidth="1"/>
    <col min="4" max="4" width="13.42578125" style="1" customWidth="1"/>
    <col min="5" max="5" width="11" style="1" customWidth="1"/>
    <col min="6" max="6" width="10.28515625" style="1" customWidth="1"/>
    <col min="7" max="7" width="13" style="1" customWidth="1"/>
    <col min="8" max="8" width="11.28515625" style="1" customWidth="1"/>
    <col min="9" max="9" width="11.7109375" style="1" customWidth="1"/>
    <col min="10" max="10" width="14.140625" style="1" customWidth="1"/>
    <col min="11" max="11" width="10.7109375" style="1" customWidth="1"/>
    <col min="12" max="12" width="10.28515625" style="1" customWidth="1"/>
    <col min="13" max="13" width="13.42578125" style="1" customWidth="1"/>
    <col min="14" max="14" width="11" style="1" customWidth="1"/>
    <col min="15" max="15" width="15.42578125" style="1" hidden="1" customWidth="1"/>
    <col min="16" max="16" width="16.42578125" style="1" hidden="1" customWidth="1"/>
    <col min="17" max="17" width="14.71093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16384" width="11.42578125" style="1"/>
  </cols>
  <sheetData>
    <row r="1" spans="1:22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2"/>
    </row>
    <row r="2" spans="1:22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22" x14ac:dyDescent="0.25">
      <c r="A3" s="304" t="s">
        <v>158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22" x14ac:dyDescent="0.25">
      <c r="A4" s="304" t="s">
        <v>228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22" x14ac:dyDescent="0.25">
      <c r="A5" s="305" t="s">
        <v>229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22" x14ac:dyDescent="0.25">
      <c r="A6" s="45"/>
      <c r="B6" s="316" t="s">
        <v>225</v>
      </c>
      <c r="C6" s="316"/>
      <c r="D6" s="316"/>
      <c r="E6" s="319" t="s">
        <v>139</v>
      </c>
      <c r="F6" s="319"/>
      <c r="G6" s="319"/>
      <c r="H6" s="317" t="s">
        <v>14</v>
      </c>
      <c r="I6" s="317"/>
      <c r="J6" s="317"/>
      <c r="K6" s="318" t="s">
        <v>15</v>
      </c>
      <c r="L6" s="318"/>
      <c r="M6" s="318"/>
    </row>
    <row r="7" spans="1:22" ht="25.5" x14ac:dyDescent="0.25">
      <c r="A7" s="46" t="s">
        <v>1</v>
      </c>
      <c r="B7" s="48" t="s">
        <v>16</v>
      </c>
      <c r="C7" s="48" t="s">
        <v>17</v>
      </c>
      <c r="D7" s="48" t="s">
        <v>18</v>
      </c>
      <c r="E7" s="48" t="s">
        <v>16</v>
      </c>
      <c r="F7" s="48" t="s">
        <v>17</v>
      </c>
      <c r="G7" s="48" t="s">
        <v>18</v>
      </c>
      <c r="H7" s="48" t="s">
        <v>16</v>
      </c>
      <c r="I7" s="48" t="s">
        <v>17</v>
      </c>
      <c r="J7" s="48" t="s">
        <v>18</v>
      </c>
      <c r="K7" s="48" t="s">
        <v>16</v>
      </c>
      <c r="L7" s="48" t="s">
        <v>17</v>
      </c>
      <c r="M7" s="48" t="s">
        <v>18</v>
      </c>
    </row>
    <row r="8" spans="1:22" s="227" customFormat="1" hidden="1" x14ac:dyDescent="0.25">
      <c r="A8" s="228" t="s">
        <v>126</v>
      </c>
      <c r="B8" s="229"/>
      <c r="C8" s="226"/>
      <c r="D8" s="226"/>
      <c r="E8" s="225"/>
      <c r="F8" s="225"/>
      <c r="G8" s="225"/>
      <c r="H8" s="224"/>
      <c r="I8" s="225"/>
      <c r="J8" s="225"/>
      <c r="K8" s="230">
        <f>+H8+E8+B8</f>
        <v>0</v>
      </c>
      <c r="L8" s="230">
        <f>+C8+F8+I8</f>
        <v>0</v>
      </c>
      <c r="M8" s="230">
        <f>+D8+G8+J8</f>
        <v>0</v>
      </c>
    </row>
    <row r="9" spans="1:22" x14ac:dyDescent="0.25">
      <c r="A9" s="47" t="s">
        <v>84</v>
      </c>
      <c r="B9" s="174">
        <v>119305</v>
      </c>
      <c r="C9" s="134">
        <v>131792</v>
      </c>
      <c r="D9" s="134">
        <v>1881434175.2</v>
      </c>
      <c r="E9" s="134">
        <v>18228</v>
      </c>
      <c r="F9" s="134">
        <v>18228</v>
      </c>
      <c r="G9" s="134">
        <v>109368000</v>
      </c>
      <c r="H9" s="134">
        <v>21354</v>
      </c>
      <c r="I9" s="134">
        <v>21421</v>
      </c>
      <c r="J9" s="134">
        <v>486276348.66000003</v>
      </c>
      <c r="K9" s="39">
        <f>+B9+H9+E9</f>
        <v>158887</v>
      </c>
      <c r="L9" s="40">
        <f t="shared" ref="L9" si="0">+C9+I9+F9</f>
        <v>171441</v>
      </c>
      <c r="M9" s="39">
        <f t="shared" ref="M9" si="1">+D9+J9+G9</f>
        <v>2477078523.8600001</v>
      </c>
      <c r="U9" s="123">
        <f>+U31/1000000</f>
        <v>1292.6350293700009</v>
      </c>
    </row>
    <row r="10" spans="1:22" x14ac:dyDescent="0.25">
      <c r="A10" s="47" t="s">
        <v>83</v>
      </c>
      <c r="B10" s="174">
        <v>118521</v>
      </c>
      <c r="C10" s="175">
        <v>131005</v>
      </c>
      <c r="D10" s="134">
        <v>1863465516.28</v>
      </c>
      <c r="E10" s="134">
        <v>17792</v>
      </c>
      <c r="F10" s="134">
        <v>17792</v>
      </c>
      <c r="G10" s="134">
        <v>106752000</v>
      </c>
      <c r="H10" s="134">
        <v>21345</v>
      </c>
      <c r="I10" s="134">
        <v>21412</v>
      </c>
      <c r="J10" s="134">
        <v>482714789.80000001</v>
      </c>
      <c r="K10" s="39">
        <f t="shared" ref="K10:M10" si="2">+B10+H10+E10</f>
        <v>157658</v>
      </c>
      <c r="L10" s="40">
        <f t="shared" si="2"/>
        <v>170209</v>
      </c>
      <c r="M10" s="39">
        <f t="shared" si="2"/>
        <v>2452932306.0799999</v>
      </c>
      <c r="Q10" s="37">
        <f>+L11-L10</f>
        <v>-1203</v>
      </c>
    </row>
    <row r="11" spans="1:22" x14ac:dyDescent="0.25">
      <c r="A11" s="47" t="s">
        <v>82</v>
      </c>
      <c r="B11" s="174">
        <v>117786</v>
      </c>
      <c r="C11" s="134">
        <v>130214</v>
      </c>
      <c r="D11" s="134">
        <v>1846336238.48</v>
      </c>
      <c r="E11" s="134">
        <v>17361</v>
      </c>
      <c r="F11" s="134">
        <v>17361</v>
      </c>
      <c r="G11" s="134">
        <v>104166000</v>
      </c>
      <c r="H11" s="134">
        <v>21364</v>
      </c>
      <c r="I11" s="134">
        <v>21431</v>
      </c>
      <c r="J11" s="134">
        <v>482251099.57999998</v>
      </c>
      <c r="K11" s="39">
        <f>+B11+H11+E11</f>
        <v>156511</v>
      </c>
      <c r="L11" s="40">
        <f t="shared" ref="L11" si="3">+C11+I11+F11</f>
        <v>169006</v>
      </c>
      <c r="M11" s="139">
        <f t="shared" ref="M11" si="4">+D11+J11+G11</f>
        <v>2432753338.0599999</v>
      </c>
      <c r="S11" s="35"/>
      <c r="V11" s="1">
        <f>+U31/1000000</f>
        <v>1292.6350293700009</v>
      </c>
    </row>
    <row r="12" spans="1:22" x14ac:dyDescent="0.25">
      <c r="A12" s="29" t="s">
        <v>91</v>
      </c>
      <c r="B12" s="41">
        <f>+B9</f>
        <v>119305</v>
      </c>
      <c r="C12" s="41">
        <f>+C9</f>
        <v>131792</v>
      </c>
      <c r="D12" s="41">
        <f>SUM(D9:D11)</f>
        <v>5591235929.96</v>
      </c>
      <c r="E12" s="41">
        <f>+E9</f>
        <v>18228</v>
      </c>
      <c r="F12" s="41">
        <f>+F9</f>
        <v>18228</v>
      </c>
      <c r="G12" s="41">
        <f>SUM(G9:G11)</f>
        <v>320286000</v>
      </c>
      <c r="H12" s="41">
        <f>+H9</f>
        <v>21354</v>
      </c>
      <c r="I12" s="41">
        <f>+I9</f>
        <v>21421</v>
      </c>
      <c r="J12" s="138">
        <f>SUM(J9:J11)</f>
        <v>1451242238.04</v>
      </c>
      <c r="K12" s="41">
        <f>+K9</f>
        <v>158887</v>
      </c>
      <c r="L12" s="41">
        <f>+L9</f>
        <v>171441</v>
      </c>
      <c r="M12" s="138">
        <f>SUM(M9:M11)</f>
        <v>7362764168</v>
      </c>
      <c r="S12" s="315" t="s">
        <v>217</v>
      </c>
      <c r="T12" s="315"/>
      <c r="U12" s="315"/>
    </row>
    <row r="13" spans="1:22" hidden="1" x14ac:dyDescent="0.25">
      <c r="A13" s="47" t="s">
        <v>34</v>
      </c>
      <c r="B13" s="174"/>
      <c r="C13" s="134"/>
      <c r="D13" s="134">
        <f>SUM(D8:D11)</f>
        <v>5591235929.96</v>
      </c>
      <c r="E13" s="134"/>
      <c r="F13" s="134"/>
      <c r="G13" s="134">
        <f>SUM(G8:G11)</f>
        <v>320286000</v>
      </c>
      <c r="H13" s="134"/>
      <c r="I13" s="134"/>
      <c r="J13" s="134">
        <f>SUM(J8:J11)</f>
        <v>1451242238.04</v>
      </c>
      <c r="K13" s="39">
        <f t="shared" ref="K13:M15" si="5">+B13+H13+E13</f>
        <v>0</v>
      </c>
      <c r="L13" s="40">
        <f t="shared" si="5"/>
        <v>0</v>
      </c>
      <c r="M13" s="39">
        <f t="shared" si="5"/>
        <v>7362764168</v>
      </c>
    </row>
    <row r="14" spans="1:22" hidden="1" x14ac:dyDescent="0.25">
      <c r="A14" s="47" t="s">
        <v>35</v>
      </c>
      <c r="B14" s="174"/>
      <c r="C14" s="175"/>
      <c r="D14" s="134"/>
      <c r="E14" s="134"/>
      <c r="F14" s="134"/>
      <c r="G14" s="134"/>
      <c r="H14" s="134"/>
      <c r="I14" s="134"/>
      <c r="J14" s="134"/>
      <c r="K14" s="39">
        <f t="shared" si="5"/>
        <v>0</v>
      </c>
      <c r="L14" s="40">
        <f t="shared" si="5"/>
        <v>0</v>
      </c>
      <c r="M14" s="39">
        <f t="shared" si="5"/>
        <v>0</v>
      </c>
    </row>
    <row r="15" spans="1:22" hidden="1" x14ac:dyDescent="0.25">
      <c r="A15" s="47" t="s">
        <v>36</v>
      </c>
      <c r="B15" s="174"/>
      <c r="C15" s="134"/>
      <c r="D15" s="134"/>
      <c r="E15" s="134"/>
      <c r="F15" s="134"/>
      <c r="G15" s="134"/>
      <c r="H15" s="134"/>
      <c r="I15" s="134"/>
      <c r="J15" s="134"/>
      <c r="K15" s="39">
        <f t="shared" si="5"/>
        <v>0</v>
      </c>
      <c r="L15" s="40">
        <f t="shared" si="5"/>
        <v>0</v>
      </c>
      <c r="M15" s="39">
        <f t="shared" si="5"/>
        <v>0</v>
      </c>
      <c r="Q15" s="37">
        <f>+M11-M10</f>
        <v>-20178968.019999981</v>
      </c>
      <c r="S15" s="35"/>
    </row>
    <row r="16" spans="1:22" hidden="1" x14ac:dyDescent="0.25">
      <c r="A16" s="29" t="s">
        <v>129</v>
      </c>
      <c r="B16" s="41">
        <f>+B15</f>
        <v>0</v>
      </c>
      <c r="C16" s="41">
        <f>+C15</f>
        <v>0</v>
      </c>
      <c r="D16" s="41">
        <f>+SUM(D13:D15)</f>
        <v>5591235929.96</v>
      </c>
      <c r="E16" s="41">
        <f>+E15</f>
        <v>0</v>
      </c>
      <c r="F16" s="41">
        <f>+F15</f>
        <v>0</v>
      </c>
      <c r="G16" s="41">
        <f>+SUM(G13:G15)</f>
        <v>320286000</v>
      </c>
      <c r="H16" s="41">
        <f>+H15</f>
        <v>0</v>
      </c>
      <c r="I16" s="41">
        <f>+I15</f>
        <v>0</v>
      </c>
      <c r="J16" s="41">
        <f>+SUM(J13:J15)</f>
        <v>1451242238.04</v>
      </c>
      <c r="K16" s="41">
        <f>+K15</f>
        <v>0</v>
      </c>
      <c r="L16" s="42">
        <f>+L15</f>
        <v>0</v>
      </c>
      <c r="M16" s="41">
        <f>+SUM(M13:M15)</f>
        <v>7362764168</v>
      </c>
    </row>
    <row r="17" spans="1:21" hidden="1" x14ac:dyDescent="0.25">
      <c r="A17" s="47" t="s">
        <v>85</v>
      </c>
      <c r="B17" s="174"/>
      <c r="C17" s="134"/>
      <c r="D17" s="134"/>
      <c r="E17" s="134"/>
      <c r="F17" s="134"/>
      <c r="G17" s="134"/>
      <c r="H17" s="134"/>
      <c r="I17" s="134"/>
      <c r="J17" s="134"/>
      <c r="K17" s="39">
        <f t="shared" ref="K17:M19" si="6">+B17+H17+E17</f>
        <v>0</v>
      </c>
      <c r="L17" s="40">
        <f t="shared" si="6"/>
        <v>0</v>
      </c>
      <c r="M17" s="39">
        <f t="shared" si="6"/>
        <v>0</v>
      </c>
    </row>
    <row r="18" spans="1:21" hidden="1" x14ac:dyDescent="0.25">
      <c r="A18" s="47" t="s">
        <v>86</v>
      </c>
      <c r="B18" s="174"/>
      <c r="C18" s="175"/>
      <c r="D18" s="134"/>
      <c r="E18" s="134"/>
      <c r="F18" s="134"/>
      <c r="G18" s="134"/>
      <c r="H18" s="134"/>
      <c r="I18" s="134"/>
      <c r="J18" s="134"/>
      <c r="K18" s="39">
        <f t="shared" si="6"/>
        <v>0</v>
      </c>
      <c r="L18" s="40">
        <f t="shared" si="6"/>
        <v>0</v>
      </c>
      <c r="M18" s="39">
        <f t="shared" si="6"/>
        <v>0</v>
      </c>
    </row>
    <row r="19" spans="1:21" hidden="1" x14ac:dyDescent="0.25">
      <c r="A19" s="47" t="s">
        <v>87</v>
      </c>
      <c r="B19" s="174"/>
      <c r="C19" s="134"/>
      <c r="D19" s="134"/>
      <c r="E19" s="134"/>
      <c r="F19" s="134"/>
      <c r="G19" s="134"/>
      <c r="H19" s="134"/>
      <c r="I19" s="134"/>
      <c r="J19" s="134"/>
      <c r="K19" s="39">
        <f t="shared" si="6"/>
        <v>0</v>
      </c>
      <c r="L19" s="40">
        <f t="shared" si="6"/>
        <v>0</v>
      </c>
      <c r="M19" s="39">
        <f t="shared" si="6"/>
        <v>0</v>
      </c>
      <c r="S19" s="35"/>
    </row>
    <row r="20" spans="1:21" hidden="1" x14ac:dyDescent="0.25">
      <c r="A20" s="29" t="s">
        <v>92</v>
      </c>
      <c r="B20" s="41">
        <f>+B19</f>
        <v>0</v>
      </c>
      <c r="C20" s="41">
        <f>+C19</f>
        <v>0</v>
      </c>
      <c r="D20" s="41">
        <f>+SUM(D17:D19)</f>
        <v>0</v>
      </c>
      <c r="E20" s="41">
        <f>+E19</f>
        <v>0</v>
      </c>
      <c r="F20" s="41">
        <f>+F19</f>
        <v>0</v>
      </c>
      <c r="G20" s="41">
        <f>+SUM(G17:G19)</f>
        <v>0</v>
      </c>
      <c r="H20" s="41">
        <f>+H19</f>
        <v>0</v>
      </c>
      <c r="I20" s="41">
        <f>+I19</f>
        <v>0</v>
      </c>
      <c r="J20" s="41">
        <f>+SUM(J17:J19)</f>
        <v>0</v>
      </c>
      <c r="K20" s="41">
        <f>+K19</f>
        <v>0</v>
      </c>
      <c r="L20" s="42">
        <f>+L19</f>
        <v>0</v>
      </c>
      <c r="M20" s="41">
        <f>+SUM(M17:M19)</f>
        <v>0</v>
      </c>
    </row>
    <row r="21" spans="1:21" hidden="1" x14ac:dyDescent="0.25">
      <c r="A21" s="47" t="s">
        <v>88</v>
      </c>
      <c r="B21" s="174"/>
      <c r="C21" s="134"/>
      <c r="D21" s="134"/>
      <c r="E21" s="134"/>
      <c r="F21" s="134"/>
      <c r="G21" s="134"/>
      <c r="H21" s="134"/>
      <c r="I21" s="134"/>
      <c r="J21" s="134"/>
      <c r="K21" s="39">
        <f t="shared" ref="K21:M24" si="7">+B21+H21+E21</f>
        <v>0</v>
      </c>
      <c r="L21" s="40">
        <f t="shared" si="7"/>
        <v>0</v>
      </c>
      <c r="M21" s="39">
        <f t="shared" si="7"/>
        <v>0</v>
      </c>
    </row>
    <row r="22" spans="1:21" hidden="1" x14ac:dyDescent="0.25">
      <c r="A22" s="47" t="s">
        <v>89</v>
      </c>
      <c r="B22" s="174"/>
      <c r="C22" s="175"/>
      <c r="D22" s="134"/>
      <c r="E22" s="134"/>
      <c r="F22" s="134"/>
      <c r="G22" s="134"/>
      <c r="H22" s="134"/>
      <c r="I22" s="134"/>
      <c r="J22" s="134"/>
      <c r="K22" s="39">
        <f t="shared" si="7"/>
        <v>0</v>
      </c>
      <c r="L22" s="40">
        <f t="shared" si="7"/>
        <v>0</v>
      </c>
      <c r="M22" s="39">
        <f t="shared" si="7"/>
        <v>0</v>
      </c>
    </row>
    <row r="23" spans="1:21" hidden="1" x14ac:dyDescent="0.25">
      <c r="A23" s="47" t="s">
        <v>90</v>
      </c>
      <c r="B23" s="174"/>
      <c r="C23" s="134"/>
      <c r="D23" s="134"/>
      <c r="E23" s="134"/>
      <c r="F23" s="134"/>
      <c r="G23" s="134"/>
      <c r="H23" s="134"/>
      <c r="I23" s="134"/>
      <c r="J23" s="134"/>
      <c r="K23" s="39">
        <f t="shared" si="7"/>
        <v>0</v>
      </c>
      <c r="L23" s="40">
        <f t="shared" si="7"/>
        <v>0</v>
      </c>
      <c r="M23" s="39">
        <f t="shared" si="7"/>
        <v>0</v>
      </c>
      <c r="S23" s="35"/>
    </row>
    <row r="24" spans="1:21" hidden="1" x14ac:dyDescent="0.25">
      <c r="A24" s="47" t="s">
        <v>126</v>
      </c>
      <c r="B24" s="174"/>
      <c r="C24" s="134"/>
      <c r="D24" s="134"/>
      <c r="E24" s="134"/>
      <c r="F24" s="134"/>
      <c r="G24" s="134"/>
      <c r="H24" s="134"/>
      <c r="I24" s="134"/>
      <c r="J24" s="134"/>
      <c r="K24" s="39">
        <f t="shared" si="7"/>
        <v>0</v>
      </c>
      <c r="L24" s="40">
        <f t="shared" si="7"/>
        <v>0</v>
      </c>
      <c r="M24" s="39">
        <f t="shared" si="7"/>
        <v>0</v>
      </c>
    </row>
    <row r="25" spans="1:21" hidden="1" x14ac:dyDescent="0.25">
      <c r="A25" s="29" t="s">
        <v>93</v>
      </c>
      <c r="B25" s="41">
        <f>+B24</f>
        <v>0</v>
      </c>
      <c r="C25" s="41">
        <f>+C24</f>
        <v>0</v>
      </c>
      <c r="D25" s="41">
        <f>+SUM(D21:D24)</f>
        <v>0</v>
      </c>
      <c r="E25" s="41">
        <f>+E24</f>
        <v>0</v>
      </c>
      <c r="F25" s="41">
        <f>+F24</f>
        <v>0</v>
      </c>
      <c r="G25" s="41">
        <f>+SUM(G21:G24)</f>
        <v>0</v>
      </c>
      <c r="H25" s="41">
        <f>+H24</f>
        <v>0</v>
      </c>
      <c r="I25" s="41">
        <f>+I24</f>
        <v>0</v>
      </c>
      <c r="J25" s="41">
        <f>+SUM(J21:J24)</f>
        <v>0</v>
      </c>
      <c r="K25" s="41">
        <f>+K24</f>
        <v>0</v>
      </c>
      <c r="L25" s="42">
        <f>+L24</f>
        <v>0</v>
      </c>
      <c r="M25" s="41">
        <f>+SUM(M21:M24)</f>
        <v>0</v>
      </c>
    </row>
    <row r="26" spans="1:21" hidden="1" x14ac:dyDescent="0.25">
      <c r="A26" s="30" t="s">
        <v>9</v>
      </c>
      <c r="B26" s="43">
        <f>+B25</f>
        <v>0</v>
      </c>
      <c r="C26" s="43">
        <f>+C25</f>
        <v>0</v>
      </c>
      <c r="D26" s="43">
        <f>+D12+D16+D20+D25</f>
        <v>11182471859.92</v>
      </c>
      <c r="E26" s="43">
        <f>+E25</f>
        <v>0</v>
      </c>
      <c r="F26" s="43">
        <f>+F25</f>
        <v>0</v>
      </c>
      <c r="G26" s="43">
        <f>+G12+G16+G20+G25</f>
        <v>640572000</v>
      </c>
      <c r="H26" s="43">
        <f>+H25</f>
        <v>0</v>
      </c>
      <c r="I26" s="43">
        <f>+I25</f>
        <v>0</v>
      </c>
      <c r="J26" s="43">
        <f>+J12+J16+J20+J25</f>
        <v>2902484476.0799999</v>
      </c>
      <c r="K26" s="43">
        <f>+K25</f>
        <v>0</v>
      </c>
      <c r="L26" s="44">
        <f>+L25</f>
        <v>0</v>
      </c>
      <c r="M26" s="43">
        <f>+M12+M16+M20+M25</f>
        <v>14725528336</v>
      </c>
    </row>
    <row r="27" spans="1:21" hidden="1" x14ac:dyDescent="0.25">
      <c r="A27" s="142" t="s">
        <v>93</v>
      </c>
      <c r="B27" s="176"/>
      <c r="C27" s="176"/>
      <c r="D27" s="177">
        <f>+D12/M12</f>
        <v>0.75939359218655877</v>
      </c>
      <c r="E27" s="178"/>
      <c r="F27" s="178"/>
      <c r="G27" s="177">
        <f>+G12/M12</f>
        <v>4.3500782137233872E-2</v>
      </c>
      <c r="H27" s="178"/>
      <c r="I27" s="178"/>
      <c r="J27" s="177">
        <f>+J12/M12</f>
        <v>0.19710562567620732</v>
      </c>
      <c r="K27" s="176"/>
      <c r="L27" s="176"/>
      <c r="M27" s="176"/>
      <c r="R27" s="37"/>
    </row>
    <row r="28" spans="1:21" x14ac:dyDescent="0.25">
      <c r="A28" s="151" t="s">
        <v>173</v>
      </c>
      <c r="B28" s="142"/>
      <c r="C28" s="142"/>
      <c r="D28" s="241">
        <f>+D12/M12</f>
        <v>0.75939359218655877</v>
      </c>
      <c r="E28" s="142"/>
      <c r="F28" s="142"/>
      <c r="G28" s="241">
        <f>+G12/$M$12</f>
        <v>4.3500782137233872E-2</v>
      </c>
      <c r="H28" s="142"/>
      <c r="I28" s="142"/>
      <c r="J28" s="241">
        <f>+J12/$M$12</f>
        <v>0.19710562567620732</v>
      </c>
      <c r="K28" s="179"/>
      <c r="L28" s="142"/>
      <c r="M28" s="142"/>
      <c r="Q28" s="88" t="s">
        <v>145</v>
      </c>
      <c r="R28" s="88"/>
      <c r="S28" s="89"/>
    </row>
    <row r="29" spans="1:21" x14ac:dyDescent="0.25">
      <c r="A29" s="276"/>
      <c r="B29" s="274"/>
      <c r="C29" s="142"/>
      <c r="D29" s="142"/>
      <c r="E29" s="142"/>
      <c r="F29" s="142"/>
      <c r="G29" s="142"/>
      <c r="H29" s="142"/>
      <c r="I29" s="142"/>
      <c r="J29" s="160"/>
      <c r="K29" s="142"/>
      <c r="L29" s="142"/>
      <c r="M29" s="142"/>
      <c r="P29" s="1" t="s">
        <v>143</v>
      </c>
      <c r="Q29" s="36" t="s">
        <v>142</v>
      </c>
      <c r="R29" s="80" t="s">
        <v>18</v>
      </c>
      <c r="S29" s="87" t="s">
        <v>148</v>
      </c>
      <c r="T29" s="80" t="s">
        <v>142</v>
      </c>
      <c r="U29" s="1" t="s">
        <v>18</v>
      </c>
    </row>
    <row r="30" spans="1:2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Q30" s="78"/>
      <c r="R30" s="38"/>
      <c r="S30" s="79">
        <v>145883</v>
      </c>
      <c r="T30" s="14">
        <v>158341</v>
      </c>
      <c r="U30" s="14">
        <v>6070129138.6299992</v>
      </c>
    </row>
    <row r="31" spans="1:2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Q31" s="86"/>
      <c r="R31" s="86"/>
      <c r="S31" s="37">
        <f>+K12-S30</f>
        <v>13004</v>
      </c>
      <c r="T31" s="37">
        <f>+L12-T30</f>
        <v>13100</v>
      </c>
      <c r="U31" s="37">
        <f>+M12-U30</f>
        <v>1292635029.3700008</v>
      </c>
    </row>
    <row r="32" spans="1:2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R32" s="38"/>
    </row>
    <row r="33" spans="1:21" x14ac:dyDescent="0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21" x14ac:dyDescent="0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S34" s="93">
        <f>+(K12-S30)/S30</f>
        <v>8.9139927201935795E-2</v>
      </c>
      <c r="T34" s="93">
        <f>+(L12-T30)/T30</f>
        <v>8.2732836094252277E-2</v>
      </c>
      <c r="U34" s="93">
        <f>+(M12-U30)/U30</f>
        <v>0.21295016956784921</v>
      </c>
    </row>
    <row r="35" spans="1:21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21" x14ac:dyDescent="0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21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S37" s="1" t="s">
        <v>218</v>
      </c>
    </row>
    <row r="38" spans="1:21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S38" s="132" t="s">
        <v>148</v>
      </c>
      <c r="T38" s="132" t="s">
        <v>142</v>
      </c>
      <c r="U38" s="132" t="s">
        <v>18</v>
      </c>
    </row>
    <row r="39" spans="1:21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S39" s="132">
        <v>139458</v>
      </c>
      <c r="T39" s="132">
        <v>151810</v>
      </c>
      <c r="U39" s="132">
        <v>5844095640.5</v>
      </c>
    </row>
    <row r="40" spans="1:21" x14ac:dyDescent="0.2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S40" s="132">
        <f>K12-S39</f>
        <v>19429</v>
      </c>
      <c r="T40" s="132">
        <f t="shared" ref="T40:U40" si="8">L12-T39</f>
        <v>19631</v>
      </c>
      <c r="U40" s="132">
        <f t="shared" si="8"/>
        <v>1518668527.5</v>
      </c>
    </row>
    <row r="41" spans="1:21" x14ac:dyDescent="0.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S41" s="132"/>
      <c r="T41" s="132"/>
      <c r="U41" s="132"/>
    </row>
    <row r="42" spans="1:21" x14ac:dyDescent="0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S42" s="132"/>
      <c r="T42" s="132"/>
      <c r="U42" s="132"/>
    </row>
    <row r="43" spans="1:21" x14ac:dyDescent="0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S43" s="93">
        <f>+(K12-S39)/S39</f>
        <v>0.13931793084656313</v>
      </c>
      <c r="T43" s="93">
        <f t="shared" ref="T43:U43" si="9">+(L12-T39)/T39</f>
        <v>0.12931295698570583</v>
      </c>
      <c r="U43" s="93">
        <f t="shared" si="9"/>
        <v>0.25986373614003144</v>
      </c>
    </row>
    <row r="44" spans="1:21" x14ac:dyDescent="0.2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21" x14ac:dyDescent="0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21" x14ac:dyDescent="0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21" x14ac:dyDescent="0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21" x14ac:dyDescent="0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x14ac:dyDescent="0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x14ac:dyDescent="0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x14ac:dyDescent="0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x14ac:dyDescent="0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x14ac:dyDescent="0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x14ac:dyDescent="0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3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5" spans="2:14" x14ac:dyDescent="0.25">
      <c r="B65" s="47"/>
      <c r="C65" s="174"/>
      <c r="D65" s="134"/>
      <c r="E65" s="134"/>
      <c r="F65" s="134"/>
      <c r="G65" s="134"/>
      <c r="H65" s="134"/>
      <c r="I65" s="134"/>
      <c r="J65" s="134"/>
      <c r="K65" s="134"/>
      <c r="L65" s="39"/>
      <c r="M65" s="40"/>
      <c r="N65" s="39"/>
    </row>
    <row r="67" spans="2:14" x14ac:dyDescent="0.25">
      <c r="B67" s="47"/>
      <c r="C67" s="174"/>
      <c r="D67" s="134"/>
      <c r="E67" s="134"/>
      <c r="F67" s="134"/>
      <c r="G67" s="134"/>
      <c r="H67" s="134"/>
      <c r="I67" s="134"/>
      <c r="J67" s="134"/>
      <c r="K67" s="134"/>
      <c r="L67" s="39"/>
      <c r="M67" s="40"/>
      <c r="N67" s="139"/>
    </row>
  </sheetData>
  <mergeCells count="10">
    <mergeCell ref="S12:U12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3" orientation="portrait" r:id="rId1"/>
  <colBreaks count="1" manualBreakCount="1">
    <brk id="14" max="1048575" man="1"/>
  </colBreaks>
  <ignoredErrors>
    <ignoredError sqref="K12 L12:M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8"/>
  <sheetViews>
    <sheetView showGridLines="0" tabSelected="1" topLeftCell="A13" zoomScale="115" zoomScaleNormal="115" workbookViewId="0">
      <selection activeCell="B12" sqref="B12"/>
    </sheetView>
  </sheetViews>
  <sheetFormatPr baseColWidth="10" defaultColWidth="11.42578125" defaultRowHeight="15" x14ac:dyDescent="0.25"/>
  <cols>
    <col min="1" max="1" width="12.28515625" style="1" customWidth="1"/>
    <col min="2" max="2" width="14.140625" style="1" customWidth="1"/>
    <col min="3" max="3" width="13.42578125" style="1" customWidth="1"/>
    <col min="4" max="4" width="11.140625" style="1" customWidth="1"/>
    <col min="5" max="5" width="14.140625" style="1" customWidth="1"/>
    <col min="6" max="6" width="10.5703125" style="1" customWidth="1"/>
    <col min="7" max="7" width="17.7109375" style="1" customWidth="1"/>
    <col min="8" max="8" width="14.85546875" style="1" customWidth="1"/>
    <col min="9" max="9" width="10.85546875" style="1" customWidth="1"/>
    <col min="10" max="10" width="16.7109375" style="1" customWidth="1"/>
    <col min="11" max="11" width="13.5703125" style="1" customWidth="1"/>
    <col min="12" max="12" width="11.42578125" style="1" customWidth="1"/>
    <col min="13" max="13" width="17" style="1" customWidth="1"/>
    <col min="14" max="16384" width="11.42578125" style="1"/>
  </cols>
  <sheetData>
    <row r="1" spans="1:13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x14ac:dyDescent="0.25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x14ac:dyDescent="0.25">
      <c r="A3" s="304" t="s">
        <v>230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x14ac:dyDescent="0.25">
      <c r="A4" s="304" t="s">
        <v>231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x14ac:dyDescent="0.25">
      <c r="A5" s="304" t="s">
        <v>229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30" customHeight="1" x14ac:dyDescent="0.25">
      <c r="A6" s="299"/>
      <c r="B6" s="320" t="s">
        <v>232</v>
      </c>
      <c r="C6" s="320"/>
      <c r="D6" s="320"/>
      <c r="E6" s="320"/>
      <c r="F6" s="320"/>
      <c r="G6" s="324" t="s">
        <v>233</v>
      </c>
      <c r="H6" s="324"/>
      <c r="I6" s="325" t="s">
        <v>234</v>
      </c>
      <c r="J6" s="325"/>
      <c r="K6" s="323" t="s">
        <v>15</v>
      </c>
      <c r="L6" s="323"/>
      <c r="M6" s="299"/>
    </row>
    <row r="7" spans="1:13" ht="24" customHeight="1" x14ac:dyDescent="0.25">
      <c r="A7" s="257" t="s">
        <v>1</v>
      </c>
      <c r="B7" s="257" t="s">
        <v>235</v>
      </c>
      <c r="C7" s="257" t="s">
        <v>236</v>
      </c>
      <c r="D7" s="257" t="s">
        <v>237</v>
      </c>
      <c r="E7" s="257" t="s">
        <v>238</v>
      </c>
      <c r="F7" s="257" t="s">
        <v>239</v>
      </c>
      <c r="G7" s="257" t="s">
        <v>235</v>
      </c>
      <c r="H7" s="257" t="s">
        <v>236</v>
      </c>
      <c r="I7" s="257" t="s">
        <v>235</v>
      </c>
      <c r="J7" s="257" t="s">
        <v>18</v>
      </c>
      <c r="K7" s="257" t="s">
        <v>235</v>
      </c>
      <c r="L7" s="257" t="s">
        <v>236</v>
      </c>
    </row>
    <row r="8" spans="1:13" ht="13.5" customHeight="1" x14ac:dyDescent="0.25">
      <c r="A8" s="258" t="s">
        <v>84</v>
      </c>
      <c r="B8" s="260">
        <v>181</v>
      </c>
      <c r="C8" s="263">
        <v>1933633.23</v>
      </c>
      <c r="D8" s="260">
        <v>192783.23</v>
      </c>
      <c r="E8" s="260">
        <v>58008.99</v>
      </c>
      <c r="F8" s="260">
        <v>1682841.01</v>
      </c>
      <c r="G8" s="260">
        <v>450</v>
      </c>
      <c r="H8" s="260">
        <v>7059579.96</v>
      </c>
      <c r="I8" s="260">
        <v>553</v>
      </c>
      <c r="J8" s="260">
        <v>3508597.91</v>
      </c>
      <c r="K8" s="262">
        <f>+G8+I8+B8</f>
        <v>1184</v>
      </c>
      <c r="L8" s="262">
        <f>+H8+J8+C8</f>
        <v>12501811.100000001</v>
      </c>
    </row>
    <row r="9" spans="1:13" x14ac:dyDescent="0.25">
      <c r="A9" s="258" t="s">
        <v>83</v>
      </c>
      <c r="B9" s="260">
        <v>181</v>
      </c>
      <c r="C9" s="263">
        <v>1913976.23</v>
      </c>
      <c r="D9" s="260">
        <v>190823.43</v>
      </c>
      <c r="E9" s="260">
        <v>57419.28</v>
      </c>
      <c r="F9" s="260">
        <v>1665733.52</v>
      </c>
      <c r="G9" s="260">
        <v>450</v>
      </c>
      <c r="H9" s="260">
        <v>7017196.96</v>
      </c>
      <c r="I9" s="260">
        <v>544</v>
      </c>
      <c r="J9" s="260">
        <v>3442500.91</v>
      </c>
      <c r="K9" s="262">
        <f>+G9+I9+B9</f>
        <v>1175</v>
      </c>
      <c r="L9" s="262">
        <f t="shared" ref="L9:L10" si="0">+H9+J9+C9</f>
        <v>12373674.100000001</v>
      </c>
    </row>
    <row r="10" spans="1:13" x14ac:dyDescent="0.25">
      <c r="A10" s="258" t="s">
        <v>82</v>
      </c>
      <c r="B10" s="260">
        <v>182</v>
      </c>
      <c r="C10" s="263">
        <v>1922597.23</v>
      </c>
      <c r="D10" s="260">
        <v>191682.95</v>
      </c>
      <c r="E10" s="260">
        <v>57677.91</v>
      </c>
      <c r="F10" s="260">
        <v>1673236.37</v>
      </c>
      <c r="G10" s="260">
        <v>439</v>
      </c>
      <c r="H10" s="260">
        <v>6746995.96</v>
      </c>
      <c r="I10" s="260">
        <v>528</v>
      </c>
      <c r="J10" s="260">
        <v>3295467.66</v>
      </c>
      <c r="K10" s="262">
        <f>+G10+I10+B10</f>
        <v>1149</v>
      </c>
      <c r="L10" s="262">
        <f t="shared" si="0"/>
        <v>11965060.850000001</v>
      </c>
    </row>
    <row r="11" spans="1:13" x14ac:dyDescent="0.25">
      <c r="A11" s="259" t="s">
        <v>91</v>
      </c>
      <c r="B11" s="261">
        <f>+B8</f>
        <v>181</v>
      </c>
      <c r="C11" s="300">
        <f>+SUM(C8:C10)</f>
        <v>5770206.6899999995</v>
      </c>
      <c r="D11" s="261">
        <f>+SUM(D8:D10)</f>
        <v>575289.6100000001</v>
      </c>
      <c r="E11" s="261">
        <f>+SUM(E8:E10)</f>
        <v>173106.18</v>
      </c>
      <c r="F11" s="261">
        <f>+SUM(F8:F10)</f>
        <v>5021810.9000000004</v>
      </c>
      <c r="G11" s="261">
        <f>+G8</f>
        <v>450</v>
      </c>
      <c r="H11" s="261">
        <f>+SUM(H8:H10)</f>
        <v>20823772.879999999</v>
      </c>
      <c r="I11" s="261">
        <f>+I8</f>
        <v>553</v>
      </c>
      <c r="J11" s="261">
        <f>+SUM(J8:J10)</f>
        <v>10246566.48</v>
      </c>
      <c r="K11" s="261">
        <f>+K8</f>
        <v>1184</v>
      </c>
      <c r="L11" s="261">
        <f>SUM(L8:L10)</f>
        <v>36840546.050000004</v>
      </c>
    </row>
    <row r="12" spans="1:13" x14ac:dyDescent="0.25">
      <c r="A12" s="277" t="s">
        <v>249</v>
      </c>
      <c r="C12" s="301">
        <f>+C11/L11</f>
        <v>0.15662652454088691</v>
      </c>
      <c r="H12" s="301">
        <f>+H11/L11</f>
        <v>0.56524061428780037</v>
      </c>
      <c r="J12" s="301">
        <f>+J11/L11</f>
        <v>0.27813286117131258</v>
      </c>
    </row>
    <row r="13" spans="1:13" x14ac:dyDescent="0.25">
      <c r="K13" s="38"/>
    </row>
    <row r="14" spans="1:13" x14ac:dyDescent="0.25">
      <c r="C14" s="37"/>
      <c r="D14"/>
      <c r="E14"/>
      <c r="F14"/>
      <c r="G14"/>
      <c r="H14"/>
      <c r="I14"/>
      <c r="J14"/>
      <c r="L14" s="37"/>
    </row>
    <row r="26" spans="1:9" x14ac:dyDescent="0.25">
      <c r="E26" s="264"/>
    </row>
    <row r="29" spans="1:9" ht="7.5" customHeight="1" x14ac:dyDescent="0.25"/>
    <row r="30" spans="1:9" ht="33" customHeight="1" x14ac:dyDescent="0.25">
      <c r="A30"/>
      <c r="B30" s="320" t="s">
        <v>256</v>
      </c>
      <c r="C30" s="320"/>
      <c r="D30" s="321" t="s">
        <v>257</v>
      </c>
      <c r="E30" s="321"/>
      <c r="F30" s="322" t="s">
        <v>258</v>
      </c>
      <c r="G30" s="322"/>
      <c r="H30" s="323" t="s">
        <v>15</v>
      </c>
      <c r="I30" s="323"/>
    </row>
    <row r="31" spans="1:9" ht="38.25" customHeight="1" x14ac:dyDescent="0.25">
      <c r="A31" s="302" t="s">
        <v>1</v>
      </c>
      <c r="B31" s="302" t="s">
        <v>235</v>
      </c>
      <c r="C31" s="302" t="s">
        <v>236</v>
      </c>
      <c r="D31" s="302" t="s">
        <v>235</v>
      </c>
      <c r="E31" s="302" t="s">
        <v>236</v>
      </c>
      <c r="F31" s="302" t="s">
        <v>235</v>
      </c>
      <c r="G31" s="302" t="s">
        <v>18</v>
      </c>
      <c r="H31" s="302" t="s">
        <v>235</v>
      </c>
      <c r="I31" s="302" t="s">
        <v>236</v>
      </c>
    </row>
    <row r="32" spans="1:9" x14ac:dyDescent="0.25">
      <c r="A32" s="258" t="s">
        <v>84</v>
      </c>
      <c r="B32" s="260">
        <v>3</v>
      </c>
      <c r="C32" s="260">
        <v>662659</v>
      </c>
      <c r="D32" s="260">
        <v>3</v>
      </c>
      <c r="E32" s="260">
        <v>309667</v>
      </c>
      <c r="F32" s="260">
        <v>11</v>
      </c>
      <c r="G32" s="260">
        <v>457324</v>
      </c>
      <c r="H32" s="262">
        <f t="shared" ref="H32:H34" si="1">+D32+F32+B32</f>
        <v>17</v>
      </c>
      <c r="I32" s="262">
        <f t="shared" ref="I32:I34" si="2">+E32+G32+C32</f>
        <v>1429650</v>
      </c>
    </row>
    <row r="33" spans="1:9" x14ac:dyDescent="0.25">
      <c r="A33" s="258" t="s">
        <v>83</v>
      </c>
      <c r="B33" s="260">
        <v>0</v>
      </c>
      <c r="C33" s="260">
        <v>0</v>
      </c>
      <c r="D33" s="260">
        <v>15</v>
      </c>
      <c r="E33" s="260">
        <v>3630063</v>
      </c>
      <c r="F33" s="260">
        <v>20</v>
      </c>
      <c r="G33" s="260">
        <v>2404376</v>
      </c>
      <c r="H33" s="262">
        <f t="shared" si="1"/>
        <v>35</v>
      </c>
      <c r="I33" s="262">
        <f t="shared" si="2"/>
        <v>6034439</v>
      </c>
    </row>
    <row r="34" spans="1:9" x14ac:dyDescent="0.25">
      <c r="A34" s="258" t="s">
        <v>82</v>
      </c>
      <c r="B34" s="260">
        <v>1</v>
      </c>
      <c r="C34" s="260">
        <v>409233</v>
      </c>
      <c r="D34" s="260">
        <v>2</v>
      </c>
      <c r="E34" s="260">
        <v>105261</v>
      </c>
      <c r="F34" s="260">
        <v>0</v>
      </c>
      <c r="G34" s="260">
        <v>0</v>
      </c>
      <c r="H34" s="262">
        <f t="shared" si="1"/>
        <v>3</v>
      </c>
      <c r="I34" s="262">
        <f t="shared" si="2"/>
        <v>514494</v>
      </c>
    </row>
    <row r="35" spans="1:9" x14ac:dyDescent="0.25">
      <c r="A35" s="259" t="s">
        <v>91</v>
      </c>
      <c r="B35" s="261">
        <f>+B34</f>
        <v>1</v>
      </c>
      <c r="C35" s="261">
        <f>+SUM(C32:C34)</f>
        <v>1071892</v>
      </c>
      <c r="D35" s="261">
        <f>+D34</f>
        <v>2</v>
      </c>
      <c r="E35" s="261">
        <f>+SUM(E32:E34)</f>
        <v>4044991</v>
      </c>
      <c r="F35" s="261">
        <f>+F34</f>
        <v>0</v>
      </c>
      <c r="G35" s="261">
        <f>+SUM(G32:G34)</f>
        <v>2861700</v>
      </c>
      <c r="H35" s="261">
        <f>+H34</f>
        <v>3</v>
      </c>
      <c r="I35" s="261">
        <f>SUM(I32:I34)</f>
        <v>7978583</v>
      </c>
    </row>
    <row r="36" spans="1:9" x14ac:dyDescent="0.25">
      <c r="A36" s="277" t="s">
        <v>259</v>
      </c>
    </row>
    <row r="38" spans="1:9" ht="15" customHeight="1" x14ac:dyDescent="0.25"/>
  </sheetData>
  <mergeCells count="13">
    <mergeCell ref="B30:C30"/>
    <mergeCell ref="D30:E30"/>
    <mergeCell ref="F30:G30"/>
    <mergeCell ref="H30:I30"/>
    <mergeCell ref="A1:M1"/>
    <mergeCell ref="A2:M2"/>
    <mergeCell ref="A3:M3"/>
    <mergeCell ref="A4:M4"/>
    <mergeCell ref="A5:M5"/>
    <mergeCell ref="B6:F6"/>
    <mergeCell ref="G6:H6"/>
    <mergeCell ref="I6:J6"/>
    <mergeCell ref="K6:L6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Autoseguro</vt:lpstr>
      <vt:lpstr>Movimientos</vt:lpstr>
      <vt:lpstr>Hoja1</vt:lpstr>
      <vt:lpstr>Tipo de Pension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Autoseguro!Área_de_impresión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Roa</dc:creator>
  <cp:lastModifiedBy>Isabel Jaquez Adames</cp:lastModifiedBy>
  <cp:lastPrinted>2022-04-08T16:04:15Z</cp:lastPrinted>
  <dcterms:created xsi:type="dcterms:W3CDTF">2019-06-03T16:17:46Z</dcterms:created>
  <dcterms:modified xsi:type="dcterms:W3CDTF">2022-04-08T16:05:02Z</dcterms:modified>
</cp:coreProperties>
</file>