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charts/chart1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7.xml" ContentType="application/vnd.openxmlformats-officedocument.drawing+xml"/>
  <Override PartName="/xl/charts/chart2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omments3.xml" ContentType="application/vnd.openxmlformats-officedocument.spreadsheetml.comment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cienda365-my.sharepoint.com/personal/ceroa_dgjp_gob_do/Documents/Escritorio/Evidencias AD CR/3. Boletines Estadisticos/"/>
    </mc:Choice>
  </mc:AlternateContent>
  <xr:revisionPtr revIDLastSave="0" documentId="14_{5F270623-1E3D-40AE-9EDE-624A8E5FAF23}" xr6:coauthVersionLast="46" xr6:coauthVersionMax="46" xr10:uidLastSave="{00000000-0000-0000-0000-000000000000}"/>
  <bookViews>
    <workbookView xWindow="-120" yWindow="-120" windowWidth="20730" windowHeight="11160" tabRatio="990" firstSheet="7" activeTab="11" xr2:uid="{00000000-000D-0000-FFFF-FFFF00000000}"/>
  </bookViews>
  <sheets>
    <sheet name="Presupuesto Adm." sheetId="1" r:id="rId1"/>
    <sheet name="Afiliados y Cotizantes" sheetId="3" r:id="rId2"/>
    <sheet name="Cotizantes" sheetId="4" r:id="rId3"/>
    <sheet name="Empleador" sheetId="7" r:id="rId4"/>
    <sheet name="Aportes" sheetId="5" r:id="rId5"/>
    <sheet name="Traspaso" sheetId="6" r:id="rId6"/>
    <sheet name="Presupuesto de Pensiones" sheetId="2" r:id="rId7"/>
    <sheet name="Nómina" sheetId="8" r:id="rId8"/>
    <sheet name="Movimientos" sheetId="9" r:id="rId9"/>
    <sheet name="Tipo de Pension" sheetId="12" r:id="rId10"/>
    <sheet name="Hoja1" sheetId="18" state="hidden" r:id="rId11"/>
    <sheet name="Modalidad" sheetId="10" r:id="rId12"/>
    <sheet name="Retroactivos" sheetId="11" r:id="rId13"/>
    <sheet name="Reintegros" sheetId="16" state="hidden" r:id="rId14"/>
    <sheet name="Créditos Rechazados" sheetId="17" state="hidden" r:id="rId15"/>
    <sheet name="Recuperación Fondos" sheetId="15" r:id="rId16"/>
    <sheet name="Servicios" sheetId="13" r:id="rId17"/>
  </sheets>
  <definedNames>
    <definedName name="_xlnm.Print_Area" localSheetId="1">'Afiliados y Cotizantes'!$A$1:$M$57</definedName>
    <definedName name="_xlnm.Print_Area" localSheetId="4">Aportes!$A$1:$D$40</definedName>
    <definedName name="_xlnm.Print_Area" localSheetId="2">Cotizantes!$A$1:$K$39</definedName>
    <definedName name="_xlnm.Print_Area" localSheetId="11">Modalidad!$A$1:$Q$43</definedName>
    <definedName name="_xlnm.Print_Area" localSheetId="8">Movimientos!$A$1:$M$40</definedName>
    <definedName name="_xlnm.Print_Area" localSheetId="7">Nómina!$A$1:$O$56</definedName>
    <definedName name="_xlnm.Print_Area" localSheetId="6">'Presupuesto de Pensiones'!$A$1:$H$51</definedName>
    <definedName name="_xlnm.Print_Area" localSheetId="15">'Recuperación Fondos'!$A$1:$G$56</definedName>
    <definedName name="_xlnm.Print_Area" localSheetId="12">Retroactivos!$A$1:$M$44</definedName>
    <definedName name="_xlnm.Print_Area" localSheetId="16">Servicios!$A$1:$BG$53</definedName>
    <definedName name="_xlnm.Print_Area" localSheetId="9">'Tipo de Pension'!$A$1:$AD$69</definedName>
    <definedName name="_xlnm.Print_Area" localSheetId="5">Traspaso!$A$1:$C$41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2" l="1"/>
  <c r="L12" i="10"/>
  <c r="D12" i="10"/>
  <c r="H12" i="10"/>
  <c r="B11" i="6"/>
  <c r="G7" i="15"/>
  <c r="F9" i="15"/>
  <c r="G9" i="15"/>
  <c r="M10" i="11"/>
  <c r="L10" i="11"/>
  <c r="K10" i="11"/>
  <c r="M8" i="11"/>
  <c r="L8" i="11"/>
  <c r="K8" i="11"/>
  <c r="J12" i="10"/>
  <c r="F12" i="10"/>
  <c r="C12" i="10"/>
  <c r="B12" i="10"/>
  <c r="Q11" i="10"/>
  <c r="P11" i="10"/>
  <c r="P12" i="10" s="1"/>
  <c r="O11" i="10"/>
  <c r="N11" i="10"/>
  <c r="Q9" i="10"/>
  <c r="P9" i="10"/>
  <c r="O9" i="10"/>
  <c r="N9" i="10"/>
  <c r="N12" i="10"/>
  <c r="K9" i="9"/>
  <c r="J9" i="9"/>
  <c r="K11" i="9"/>
  <c r="J11" i="9"/>
  <c r="I11" i="8"/>
  <c r="H11" i="8"/>
  <c r="F11" i="8"/>
  <c r="E11" i="8"/>
  <c r="C11" i="8"/>
  <c r="B11" i="8"/>
  <c r="M8" i="8"/>
  <c r="L8" i="8"/>
  <c r="L11" i="8"/>
  <c r="K8" i="8"/>
  <c r="K11" i="8"/>
  <c r="M10" i="8"/>
  <c r="L10" i="8"/>
  <c r="K10" i="8"/>
  <c r="D12" i="2"/>
  <c r="G12" i="2"/>
  <c r="H12" i="2"/>
  <c r="D10" i="2"/>
  <c r="G10" i="2"/>
  <c r="H10" i="2"/>
  <c r="D8" i="5"/>
  <c r="C8" i="5"/>
  <c r="F12" i="2"/>
  <c r="F10" i="2"/>
  <c r="D9" i="5"/>
  <c r="C9" i="5"/>
  <c r="D10" i="5"/>
  <c r="C10" i="5"/>
  <c r="D10" i="7"/>
  <c r="D8" i="7"/>
  <c r="D10" i="4"/>
  <c r="F10" i="4"/>
  <c r="D8" i="4"/>
  <c r="F8" i="4"/>
  <c r="F9" i="3"/>
  <c r="D9" i="3"/>
  <c r="F7" i="3"/>
  <c r="D7" i="3"/>
  <c r="E9" i="1"/>
  <c r="F9" i="1"/>
  <c r="D9" i="1"/>
  <c r="E11" i="1"/>
  <c r="F11" i="1"/>
  <c r="D11" i="1"/>
  <c r="D11" i="2"/>
  <c r="F11" i="2"/>
  <c r="B13" i="2"/>
  <c r="C13" i="2"/>
  <c r="E13" i="2"/>
  <c r="F14" i="2"/>
  <c r="G14" i="2"/>
  <c r="H14" i="2"/>
  <c r="F15" i="2"/>
  <c r="G15" i="2"/>
  <c r="H15" i="2"/>
  <c r="F16" i="2"/>
  <c r="G16" i="2"/>
  <c r="H16" i="2"/>
  <c r="B17" i="2"/>
  <c r="E17" i="2"/>
  <c r="F17" i="2"/>
  <c r="F18" i="2"/>
  <c r="G18" i="2"/>
  <c r="G21" i="2"/>
  <c r="H21" i="2"/>
  <c r="H18" i="2"/>
  <c r="F19" i="2"/>
  <c r="G19" i="2"/>
  <c r="H19" i="2"/>
  <c r="F20" i="2"/>
  <c r="G20" i="2"/>
  <c r="H20" i="2"/>
  <c r="B21" i="2"/>
  <c r="E21" i="2"/>
  <c r="F21" i="2"/>
  <c r="F22" i="2"/>
  <c r="G22" i="2"/>
  <c r="H22" i="2"/>
  <c r="F23" i="2"/>
  <c r="G23" i="2"/>
  <c r="H23" i="2"/>
  <c r="F24" i="2"/>
  <c r="G24" i="2"/>
  <c r="H24" i="2"/>
  <c r="F25" i="2"/>
  <c r="G25" i="2"/>
  <c r="H25" i="2"/>
  <c r="B26" i="2"/>
  <c r="E26" i="2"/>
  <c r="F26" i="2"/>
  <c r="D13" i="2"/>
  <c r="B27" i="2"/>
  <c r="G17" i="2"/>
  <c r="H17" i="2"/>
  <c r="G11" i="2"/>
  <c r="H11" i="2"/>
  <c r="F13" i="2"/>
  <c r="E10" i="4"/>
  <c r="E8" i="4"/>
  <c r="G26" i="2"/>
  <c r="H26" i="2"/>
  <c r="E27" i="2"/>
  <c r="F27" i="2"/>
  <c r="G13" i="2"/>
  <c r="Q57" i="12"/>
  <c r="Q55" i="12"/>
  <c r="Q56" i="12"/>
  <c r="Q58" i="12"/>
  <c r="Q59" i="12"/>
  <c r="Q60" i="12"/>
  <c r="Q61" i="12"/>
  <c r="Q62" i="12"/>
  <c r="Q63" i="12"/>
  <c r="Q54" i="12"/>
  <c r="P55" i="12"/>
  <c r="P56" i="12"/>
  <c r="P57" i="12"/>
  <c r="P58" i="12"/>
  <c r="P59" i="12"/>
  <c r="P60" i="12"/>
  <c r="P61" i="12"/>
  <c r="P62" i="12"/>
  <c r="P63" i="12"/>
  <c r="P54" i="12"/>
  <c r="H13" i="2"/>
  <c r="G27" i="2"/>
  <c r="O33" i="12"/>
  <c r="O34" i="12"/>
  <c r="O35" i="12"/>
  <c r="O36" i="12"/>
  <c r="O37" i="12"/>
  <c r="O38" i="12"/>
  <c r="O39" i="12"/>
  <c r="O40" i="12"/>
  <c r="O41" i="12"/>
  <c r="O42" i="12"/>
  <c r="O43" i="12"/>
  <c r="O44" i="12"/>
  <c r="O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32" i="12"/>
  <c r="O55" i="12"/>
  <c r="O56" i="12"/>
  <c r="O57" i="12"/>
  <c r="O58" i="12"/>
  <c r="O59" i="12"/>
  <c r="O60" i="12"/>
  <c r="O61" i="12"/>
  <c r="O62" i="12"/>
  <c r="O63" i="12"/>
  <c r="O54" i="12"/>
  <c r="N55" i="12"/>
  <c r="N56" i="12"/>
  <c r="N57" i="12"/>
  <c r="N58" i="12"/>
  <c r="N59" i="12"/>
  <c r="N60" i="12"/>
  <c r="N61" i="12"/>
  <c r="N62" i="12"/>
  <c r="N63" i="12"/>
  <c r="N54" i="12"/>
  <c r="L64" i="12"/>
  <c r="M61" i="12"/>
  <c r="K60" i="12"/>
  <c r="M60" i="12"/>
  <c r="K57" i="12"/>
  <c r="M57" i="12"/>
  <c r="M54" i="12"/>
  <c r="M56" i="12"/>
  <c r="M63" i="12"/>
  <c r="M55" i="12"/>
  <c r="M62" i="12"/>
  <c r="K56" i="12"/>
  <c r="K63" i="12"/>
  <c r="K55" i="12"/>
  <c r="K62" i="12"/>
  <c r="K61" i="12"/>
  <c r="K54" i="12"/>
  <c r="K59" i="12"/>
  <c r="M58" i="12"/>
  <c r="M59" i="12"/>
  <c r="K58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32" i="12"/>
  <c r="L45" i="12"/>
  <c r="M33" i="12"/>
  <c r="J45" i="12"/>
  <c r="K35" i="12"/>
  <c r="O11" i="12"/>
  <c r="M64" i="12"/>
  <c r="M43" i="12"/>
  <c r="M37" i="12"/>
  <c r="K41" i="12"/>
  <c r="K40" i="12"/>
  <c r="K38" i="12"/>
  <c r="M40" i="12"/>
  <c r="K43" i="12"/>
  <c r="K37" i="12"/>
  <c r="M32" i="12"/>
  <c r="M39" i="12"/>
  <c r="K34" i="12"/>
  <c r="M36" i="12"/>
  <c r="K44" i="12"/>
  <c r="M34" i="12"/>
  <c r="K42" i="12"/>
  <c r="K36" i="12"/>
  <c r="M44" i="12"/>
  <c r="M38" i="12"/>
  <c r="M42" i="12"/>
  <c r="K64" i="12"/>
  <c r="K32" i="12"/>
  <c r="K39" i="12"/>
  <c r="K33" i="12"/>
  <c r="M41" i="12"/>
  <c r="M35" i="12"/>
  <c r="O10" i="12"/>
  <c r="N11" i="12"/>
  <c r="P15" i="12"/>
  <c r="P12" i="12"/>
  <c r="O9" i="12"/>
  <c r="M45" i="12"/>
  <c r="K45" i="12"/>
  <c r="M17" i="12"/>
  <c r="M16" i="12"/>
  <c r="M15" i="12"/>
  <c r="M14" i="12"/>
  <c r="M13" i="12"/>
  <c r="M12" i="12"/>
  <c r="M11" i="12"/>
  <c r="M10" i="12"/>
  <c r="M9" i="12"/>
  <c r="J18" i="12"/>
  <c r="K14" i="12"/>
  <c r="Q10" i="12"/>
  <c r="Q11" i="12"/>
  <c r="Q12" i="12"/>
  <c r="Q13" i="12"/>
  <c r="Q14" i="12"/>
  <c r="Q15" i="12"/>
  <c r="Q16" i="12"/>
  <c r="Q17" i="12"/>
  <c r="Q9" i="12"/>
  <c r="P10" i="12"/>
  <c r="P11" i="12"/>
  <c r="P13" i="12"/>
  <c r="P14" i="12"/>
  <c r="P16" i="12"/>
  <c r="P17" i="12"/>
  <c r="P9" i="12"/>
  <c r="O12" i="12"/>
  <c r="O13" i="12"/>
  <c r="O14" i="12"/>
  <c r="O15" i="12"/>
  <c r="O16" i="12"/>
  <c r="O17" i="12"/>
  <c r="N10" i="12"/>
  <c r="N12" i="12"/>
  <c r="N13" i="12"/>
  <c r="N14" i="12"/>
  <c r="N15" i="12"/>
  <c r="N16" i="12"/>
  <c r="N17" i="12"/>
  <c r="N9" i="12"/>
  <c r="C72" i="18"/>
  <c r="D69" i="18"/>
  <c r="A72" i="18"/>
  <c r="B71" i="18"/>
  <c r="B70" i="18"/>
  <c r="B69" i="18"/>
  <c r="B68" i="18"/>
  <c r="B67" i="18"/>
  <c r="B66" i="18"/>
  <c r="B65" i="18"/>
  <c r="B64" i="18"/>
  <c r="B63" i="18"/>
  <c r="K13" i="12"/>
  <c r="D71" i="18"/>
  <c r="K9" i="12"/>
  <c r="M18" i="12"/>
  <c r="K15" i="12"/>
  <c r="D65" i="18"/>
  <c r="D68" i="18"/>
  <c r="D66" i="18"/>
  <c r="K12" i="12"/>
  <c r="K17" i="12"/>
  <c r="B72" i="18"/>
  <c r="D63" i="18"/>
  <c r="D70" i="18"/>
  <c r="K11" i="12"/>
  <c r="D64" i="18"/>
  <c r="D67" i="18"/>
  <c r="K16" i="12"/>
  <c r="K10" i="12"/>
  <c r="D72" i="18"/>
  <c r="K18" i="12"/>
  <c r="F64" i="12"/>
  <c r="O64" i="12"/>
  <c r="G9" i="16"/>
  <c r="F9" i="16"/>
  <c r="C9" i="16"/>
  <c r="B9" i="16"/>
  <c r="C63" i="12"/>
  <c r="C62" i="12"/>
  <c r="C61" i="12"/>
  <c r="C60" i="12"/>
  <c r="C59" i="12"/>
  <c r="C58" i="12"/>
  <c r="C57" i="12"/>
  <c r="C56" i="12"/>
  <c r="C55" i="12"/>
  <c r="C54" i="12"/>
  <c r="P53" i="12"/>
  <c r="N53" i="12"/>
  <c r="N64" i="12"/>
  <c r="D64" i="12"/>
  <c r="B64" i="12"/>
  <c r="D45" i="12"/>
  <c r="B45" i="12"/>
  <c r="D18" i="12"/>
  <c r="B18" i="12"/>
  <c r="E53" i="12"/>
  <c r="E61" i="12"/>
  <c r="E58" i="12"/>
  <c r="E63" i="12"/>
  <c r="E54" i="12"/>
  <c r="E62" i="12"/>
  <c r="E59" i="12"/>
  <c r="E56" i="12"/>
  <c r="E55" i="12"/>
  <c r="E57" i="12"/>
  <c r="E60" i="12"/>
  <c r="E44" i="12"/>
  <c r="E41" i="12"/>
  <c r="E38" i="12"/>
  <c r="E35" i="12"/>
  <c r="E32" i="12"/>
  <c r="E43" i="12"/>
  <c r="E40" i="12"/>
  <c r="E37" i="12"/>
  <c r="E34" i="12"/>
  <c r="E42" i="12"/>
  <c r="E39" i="12"/>
  <c r="E36" i="12"/>
  <c r="E33" i="12"/>
  <c r="E16" i="12"/>
  <c r="E13" i="12"/>
  <c r="E10" i="12"/>
  <c r="E17" i="12"/>
  <c r="E14" i="12"/>
  <c r="E15" i="12"/>
  <c r="E12" i="12"/>
  <c r="E9" i="12"/>
  <c r="E11" i="12"/>
  <c r="E18" i="12"/>
  <c r="E45" i="12"/>
  <c r="E64" i="12"/>
  <c r="Z19" i="13"/>
  <c r="Z15" i="13"/>
  <c r="E11" i="11"/>
  <c r="F11" i="11"/>
  <c r="G11" i="11"/>
  <c r="E15" i="11"/>
  <c r="F15" i="11"/>
  <c r="G15" i="11"/>
  <c r="E19" i="11"/>
  <c r="F19" i="11"/>
  <c r="G19" i="11"/>
  <c r="E23" i="11"/>
  <c r="F23" i="11"/>
  <c r="G23" i="11"/>
  <c r="E24" i="11"/>
  <c r="F24" i="11"/>
  <c r="G24" i="11"/>
  <c r="Z43" i="13"/>
  <c r="K10" i="9"/>
  <c r="P39" i="17"/>
  <c r="N39" i="17"/>
  <c r="P38" i="17"/>
  <c r="N38" i="17"/>
  <c r="P37" i="17"/>
  <c r="N37" i="17"/>
  <c r="P36" i="17"/>
  <c r="N36" i="17"/>
  <c r="P35" i="17"/>
  <c r="N35" i="17"/>
  <c r="P34" i="17"/>
  <c r="N34" i="17"/>
  <c r="P33" i="17"/>
  <c r="N33" i="17"/>
  <c r="P32" i="17"/>
  <c r="N32" i="17"/>
  <c r="G23" i="17"/>
  <c r="F23" i="17"/>
  <c r="E23" i="17"/>
  <c r="D23" i="17"/>
  <c r="C23" i="17"/>
  <c r="B23" i="17"/>
  <c r="I22" i="17"/>
  <c r="H22" i="17"/>
  <c r="I21" i="17"/>
  <c r="H21" i="17"/>
  <c r="I20" i="17"/>
  <c r="H20" i="17"/>
  <c r="G19" i="17"/>
  <c r="F19" i="17"/>
  <c r="E19" i="17"/>
  <c r="D19" i="17"/>
  <c r="C19" i="17"/>
  <c r="B19" i="17"/>
  <c r="I18" i="17"/>
  <c r="H18" i="17"/>
  <c r="I17" i="17"/>
  <c r="H17" i="17"/>
  <c r="I16" i="17"/>
  <c r="H16" i="17"/>
  <c r="G15" i="17"/>
  <c r="F15" i="17"/>
  <c r="E15" i="17"/>
  <c r="D15" i="17"/>
  <c r="C15" i="17"/>
  <c r="B15" i="17"/>
  <c r="I14" i="17"/>
  <c r="H14" i="17"/>
  <c r="I13" i="17"/>
  <c r="H13" i="17"/>
  <c r="I12" i="17"/>
  <c r="H12" i="17"/>
  <c r="G11" i="17"/>
  <c r="G24" i="17"/>
  <c r="F11" i="17"/>
  <c r="F24" i="17"/>
  <c r="E11" i="17"/>
  <c r="E24" i="17"/>
  <c r="D11" i="17"/>
  <c r="D24" i="17"/>
  <c r="C11" i="17"/>
  <c r="B11" i="17"/>
  <c r="I10" i="17"/>
  <c r="H10" i="17"/>
  <c r="I9" i="17"/>
  <c r="H9" i="17"/>
  <c r="I8" i="17"/>
  <c r="H8" i="17"/>
  <c r="P39" i="16"/>
  <c r="N39" i="16"/>
  <c r="P38" i="16"/>
  <c r="N38" i="16"/>
  <c r="P37" i="16"/>
  <c r="N37" i="16"/>
  <c r="P36" i="16"/>
  <c r="N36" i="16"/>
  <c r="P35" i="16"/>
  <c r="N35" i="16"/>
  <c r="P34" i="16"/>
  <c r="N34" i="16"/>
  <c r="P33" i="16"/>
  <c r="N33" i="16"/>
  <c r="P32" i="16"/>
  <c r="N32" i="16"/>
  <c r="G23" i="16"/>
  <c r="F23" i="16"/>
  <c r="E23" i="16"/>
  <c r="D23" i="16"/>
  <c r="C23" i="16"/>
  <c r="B23" i="16"/>
  <c r="I22" i="16"/>
  <c r="H22" i="16"/>
  <c r="I21" i="16"/>
  <c r="H21" i="16"/>
  <c r="I20" i="16"/>
  <c r="H20" i="16"/>
  <c r="G19" i="16"/>
  <c r="F19" i="16"/>
  <c r="E19" i="16"/>
  <c r="D19" i="16"/>
  <c r="C19" i="16"/>
  <c r="B19" i="16"/>
  <c r="I18" i="16"/>
  <c r="H18" i="16"/>
  <c r="I17" i="16"/>
  <c r="H17" i="16"/>
  <c r="I16" i="16"/>
  <c r="H16" i="16"/>
  <c r="G15" i="16"/>
  <c r="F15" i="16"/>
  <c r="E15" i="16"/>
  <c r="D15" i="16"/>
  <c r="C15" i="16"/>
  <c r="B15" i="16"/>
  <c r="I14" i="16"/>
  <c r="H14" i="16"/>
  <c r="I13" i="16"/>
  <c r="H13" i="16"/>
  <c r="I12" i="16"/>
  <c r="H12" i="16"/>
  <c r="G11" i="16"/>
  <c r="G24" i="16"/>
  <c r="F11" i="16"/>
  <c r="F24" i="16"/>
  <c r="E11" i="16"/>
  <c r="E24" i="16"/>
  <c r="D11" i="16"/>
  <c r="C11" i="16"/>
  <c r="B11" i="16"/>
  <c r="B24" i="16"/>
  <c r="I10" i="16"/>
  <c r="H10" i="16"/>
  <c r="I9" i="16"/>
  <c r="H9" i="16"/>
  <c r="I8" i="16"/>
  <c r="H8" i="16"/>
  <c r="J10" i="9"/>
  <c r="D11" i="8"/>
  <c r="H15" i="16"/>
  <c r="H11" i="17"/>
  <c r="H15" i="17"/>
  <c r="H19" i="17"/>
  <c r="H24" i="17"/>
  <c r="D24" i="16"/>
  <c r="I11" i="16"/>
  <c r="B24" i="17"/>
  <c r="H23" i="17"/>
  <c r="I11" i="17"/>
  <c r="C24" i="17"/>
  <c r="H11" i="16"/>
  <c r="H19" i="16"/>
  <c r="H23" i="16"/>
  <c r="C24" i="16"/>
  <c r="I19" i="17"/>
  <c r="I15" i="17"/>
  <c r="I23" i="17"/>
  <c r="I15" i="16"/>
  <c r="I23" i="16"/>
  <c r="I19" i="16"/>
  <c r="I24" i="16"/>
  <c r="I24" i="17"/>
  <c r="H24" i="16"/>
  <c r="B11" i="4"/>
  <c r="C12" i="1"/>
  <c r="B12" i="1"/>
  <c r="D12" i="9"/>
  <c r="B12" i="9"/>
  <c r="I12" i="10"/>
  <c r="G12" i="10"/>
  <c r="M12" i="10"/>
  <c r="K12" i="10"/>
  <c r="E12" i="10"/>
  <c r="E10" i="1"/>
  <c r="C11" i="4"/>
  <c r="E10" i="3"/>
  <c r="C12" i="9"/>
  <c r="G11" i="8"/>
  <c r="J11" i="8"/>
  <c r="C10" i="15"/>
  <c r="E10" i="15"/>
  <c r="D10" i="15"/>
  <c r="B10" i="15"/>
  <c r="C11" i="6"/>
  <c r="B11" i="5"/>
  <c r="C11" i="7"/>
  <c r="B11" i="7"/>
  <c r="C11" i="5"/>
  <c r="D11" i="5"/>
  <c r="C53" i="12"/>
  <c r="C64" i="12"/>
  <c r="G54" i="12"/>
  <c r="G60" i="12"/>
  <c r="G61" i="12"/>
  <c r="G56" i="12"/>
  <c r="G57" i="12"/>
  <c r="G63" i="12"/>
  <c r="G55" i="12"/>
  <c r="G62" i="12"/>
  <c r="G58" i="12"/>
  <c r="G59" i="12"/>
  <c r="D12" i="1"/>
  <c r="AW50" i="13"/>
  <c r="AV50" i="13"/>
  <c r="AT50" i="13"/>
  <c r="AS50" i="13"/>
  <c r="AQ50" i="13"/>
  <c r="AR50" i="13"/>
  <c r="AP50" i="13"/>
  <c r="AN50" i="13"/>
  <c r="AM50" i="13"/>
  <c r="AK50" i="13"/>
  <c r="AJ50" i="13"/>
  <c r="AH50" i="13"/>
  <c r="AI50" i="13"/>
  <c r="AG50" i="13"/>
  <c r="AE50" i="13"/>
  <c r="AD50" i="13"/>
  <c r="AB50" i="13"/>
  <c r="AA50" i="13"/>
  <c r="Y50" i="13"/>
  <c r="X50" i="13"/>
  <c r="V50" i="13"/>
  <c r="U50" i="13"/>
  <c r="S50" i="13"/>
  <c r="R50" i="13"/>
  <c r="P50" i="13"/>
  <c r="Q50" i="13"/>
  <c r="O50" i="13"/>
  <c r="J50" i="13"/>
  <c r="K50" i="13"/>
  <c r="I50" i="13"/>
  <c r="G50" i="13"/>
  <c r="F50" i="13"/>
  <c r="D50" i="13"/>
  <c r="E50" i="13"/>
  <c r="C50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M49" i="13"/>
  <c r="L49" i="13"/>
  <c r="K49" i="13"/>
  <c r="H49" i="13"/>
  <c r="E49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M48" i="13"/>
  <c r="L48" i="13"/>
  <c r="K48" i="13"/>
  <c r="H48" i="13"/>
  <c r="E48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M47" i="13"/>
  <c r="N47" i="13"/>
  <c r="L47" i="13"/>
  <c r="K47" i="13"/>
  <c r="H47" i="13"/>
  <c r="E47" i="13"/>
  <c r="AX46" i="13"/>
  <c r="AU46" i="13"/>
  <c r="AR46" i="13"/>
  <c r="AO46" i="13"/>
  <c r="AL46" i="13"/>
  <c r="AI46" i="13"/>
  <c r="AF46" i="13"/>
  <c r="AC46" i="13"/>
  <c r="Z46" i="13"/>
  <c r="W46" i="13"/>
  <c r="T46" i="13"/>
  <c r="Q46" i="13"/>
  <c r="M46" i="13"/>
  <c r="L46" i="13"/>
  <c r="K46" i="13"/>
  <c r="H46" i="13"/>
  <c r="E46" i="13"/>
  <c r="Z45" i="13"/>
  <c r="W45" i="13"/>
  <c r="T45" i="13"/>
  <c r="Q45" i="13"/>
  <c r="M45" i="13"/>
  <c r="L45" i="13"/>
  <c r="K45" i="13"/>
  <c r="H45" i="13"/>
  <c r="E45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M44" i="13"/>
  <c r="L44" i="13"/>
  <c r="K44" i="13"/>
  <c r="H44" i="13"/>
  <c r="E44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M42" i="13"/>
  <c r="N42" i="13"/>
  <c r="L42" i="13"/>
  <c r="K42" i="13"/>
  <c r="H42" i="13"/>
  <c r="E42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M41" i="13"/>
  <c r="L41" i="13"/>
  <c r="K41" i="13"/>
  <c r="H41" i="13"/>
  <c r="E41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M40" i="13"/>
  <c r="L40" i="13"/>
  <c r="K40" i="13"/>
  <c r="H40" i="13"/>
  <c r="E40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M39" i="13"/>
  <c r="L39" i="13"/>
  <c r="K39" i="13"/>
  <c r="H39" i="13"/>
  <c r="E39" i="13"/>
  <c r="AW30" i="13"/>
  <c r="AX30" i="13"/>
  <c r="AV30" i="13"/>
  <c r="AT30" i="13"/>
  <c r="AS30" i="13"/>
  <c r="AU30" i="13"/>
  <c r="AQ30" i="13"/>
  <c r="AR30" i="13"/>
  <c r="AP30" i="13"/>
  <c r="AN30" i="13"/>
  <c r="AM30" i="13"/>
  <c r="AK30" i="13"/>
  <c r="AJ30" i="13"/>
  <c r="AH30" i="13"/>
  <c r="AG30" i="13"/>
  <c r="AE30" i="13"/>
  <c r="AF30" i="13"/>
  <c r="AD30" i="13"/>
  <c r="AB30" i="13"/>
  <c r="AA30" i="13"/>
  <c r="V30" i="13"/>
  <c r="W30" i="13"/>
  <c r="U30" i="13"/>
  <c r="S30" i="13"/>
  <c r="T30" i="13"/>
  <c r="R30" i="13"/>
  <c r="P30" i="13"/>
  <c r="O30" i="13"/>
  <c r="J30" i="13"/>
  <c r="K30" i="13"/>
  <c r="I30" i="13"/>
  <c r="G30" i="13"/>
  <c r="H30" i="13"/>
  <c r="F30" i="13"/>
  <c r="D30" i="13"/>
  <c r="C30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M29" i="13"/>
  <c r="N29" i="13"/>
  <c r="L29" i="13"/>
  <c r="K29" i="13"/>
  <c r="H29" i="13"/>
  <c r="E29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M28" i="13"/>
  <c r="L28" i="13"/>
  <c r="K28" i="13"/>
  <c r="H28" i="13"/>
  <c r="E28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M27" i="13"/>
  <c r="L27" i="13"/>
  <c r="K27" i="13"/>
  <c r="H27" i="13"/>
  <c r="E27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M26" i="13"/>
  <c r="L26" i="13"/>
  <c r="K26" i="13"/>
  <c r="H26" i="13"/>
  <c r="E26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M25" i="13"/>
  <c r="N25" i="13"/>
  <c r="L25" i="13"/>
  <c r="K25" i="13"/>
  <c r="H25" i="13"/>
  <c r="E25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M24" i="13"/>
  <c r="L24" i="13"/>
  <c r="K24" i="13"/>
  <c r="H24" i="13"/>
  <c r="E24" i="13"/>
  <c r="Z23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M22" i="13"/>
  <c r="L22" i="13"/>
  <c r="K22" i="13"/>
  <c r="H22" i="13"/>
  <c r="E22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M21" i="13"/>
  <c r="N21" i="13"/>
  <c r="L21" i="13"/>
  <c r="K21" i="13"/>
  <c r="H21" i="13"/>
  <c r="E21" i="13"/>
  <c r="Z20" i="13"/>
  <c r="W20" i="13"/>
  <c r="T20" i="13"/>
  <c r="Q20" i="13"/>
  <c r="M20" i="13"/>
  <c r="L20" i="13"/>
  <c r="K20" i="13"/>
  <c r="H20" i="13"/>
  <c r="E20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M18" i="13"/>
  <c r="N18" i="13"/>
  <c r="L18" i="13"/>
  <c r="K18" i="13"/>
  <c r="H18" i="13"/>
  <c r="E18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M17" i="13"/>
  <c r="L17" i="13"/>
  <c r="K17" i="13"/>
  <c r="H17" i="13"/>
  <c r="E17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M16" i="13"/>
  <c r="N16" i="13"/>
  <c r="L16" i="13"/>
  <c r="K16" i="13"/>
  <c r="H16" i="13"/>
  <c r="E16" i="13"/>
  <c r="AX14" i="13"/>
  <c r="AU14" i="13"/>
  <c r="AR14" i="13"/>
  <c r="AO14" i="13"/>
  <c r="AL14" i="13"/>
  <c r="AI14" i="13"/>
  <c r="AF14" i="13"/>
  <c r="AC14" i="13"/>
  <c r="W14" i="13"/>
  <c r="T14" i="13"/>
  <c r="Q14" i="13"/>
  <c r="M14" i="13"/>
  <c r="L14" i="13"/>
  <c r="K14" i="13"/>
  <c r="H14" i="13"/>
  <c r="E14" i="13"/>
  <c r="AX13" i="13"/>
  <c r="AU13" i="13"/>
  <c r="AR13" i="13"/>
  <c r="AO13" i="13"/>
  <c r="AL13" i="13"/>
  <c r="AI13" i="13"/>
  <c r="AF13" i="13"/>
  <c r="AC13" i="13"/>
  <c r="W13" i="13"/>
  <c r="T13" i="13"/>
  <c r="Q13" i="13"/>
  <c r="M13" i="13"/>
  <c r="N13" i="13"/>
  <c r="L13" i="13"/>
  <c r="K13" i="13"/>
  <c r="H13" i="13"/>
  <c r="E13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M12" i="13"/>
  <c r="L12" i="13"/>
  <c r="K12" i="13"/>
  <c r="H12" i="13"/>
  <c r="E12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M11" i="13"/>
  <c r="L11" i="13"/>
  <c r="K11" i="13"/>
  <c r="H11" i="13"/>
  <c r="E11" i="13"/>
  <c r="E22" i="15"/>
  <c r="D22" i="15"/>
  <c r="D23" i="15"/>
  <c r="C22" i="15"/>
  <c r="B22" i="15"/>
  <c r="F21" i="15"/>
  <c r="G21" i="15"/>
  <c r="F20" i="15"/>
  <c r="G20" i="15"/>
  <c r="F19" i="15"/>
  <c r="G19" i="15"/>
  <c r="E18" i="15"/>
  <c r="D18" i="15"/>
  <c r="C18" i="15"/>
  <c r="B18" i="15"/>
  <c r="F17" i="15"/>
  <c r="G17" i="15"/>
  <c r="F16" i="15"/>
  <c r="G16" i="15"/>
  <c r="F15" i="15"/>
  <c r="G15" i="15"/>
  <c r="E14" i="15"/>
  <c r="D14" i="15"/>
  <c r="C14" i="15"/>
  <c r="B14" i="15"/>
  <c r="B23" i="15"/>
  <c r="F13" i="15"/>
  <c r="G13" i="15"/>
  <c r="F12" i="15"/>
  <c r="G12" i="15"/>
  <c r="G11" i="15"/>
  <c r="F11" i="15"/>
  <c r="F8" i="15"/>
  <c r="G8" i="15"/>
  <c r="J23" i="11"/>
  <c r="I23" i="11"/>
  <c r="H23" i="11"/>
  <c r="D23" i="11"/>
  <c r="C23" i="11"/>
  <c r="B23" i="11"/>
  <c r="M22" i="11"/>
  <c r="L22" i="11"/>
  <c r="K22" i="11"/>
  <c r="M21" i="11"/>
  <c r="L21" i="11"/>
  <c r="K21" i="11"/>
  <c r="M20" i="11"/>
  <c r="L20" i="11"/>
  <c r="K20" i="11"/>
  <c r="J19" i="11"/>
  <c r="I19" i="11"/>
  <c r="H19" i="11"/>
  <c r="D19" i="11"/>
  <c r="C19" i="11"/>
  <c r="B19" i="11"/>
  <c r="M18" i="11"/>
  <c r="L18" i="11"/>
  <c r="K18" i="11"/>
  <c r="M17" i="11"/>
  <c r="L17" i="11"/>
  <c r="K17" i="11"/>
  <c r="M16" i="11"/>
  <c r="L16" i="11"/>
  <c r="K16" i="11"/>
  <c r="J15" i="11"/>
  <c r="I15" i="11"/>
  <c r="H15" i="11"/>
  <c r="D15" i="11"/>
  <c r="C15" i="11"/>
  <c r="B15" i="11"/>
  <c r="M14" i="11"/>
  <c r="L14" i="11"/>
  <c r="K14" i="11"/>
  <c r="M13" i="11"/>
  <c r="L13" i="11"/>
  <c r="K13" i="11"/>
  <c r="M12" i="11"/>
  <c r="L12" i="11"/>
  <c r="K12" i="11"/>
  <c r="J11" i="11"/>
  <c r="I11" i="11"/>
  <c r="H11" i="11"/>
  <c r="D11" i="11"/>
  <c r="C11" i="11"/>
  <c r="B11" i="11"/>
  <c r="M9" i="11"/>
  <c r="L9" i="11"/>
  <c r="K9" i="11"/>
  <c r="I25" i="10"/>
  <c r="H25" i="10"/>
  <c r="H26" i="10"/>
  <c r="G25" i="10"/>
  <c r="F25" i="10"/>
  <c r="F26" i="10"/>
  <c r="M25" i="10"/>
  <c r="L25" i="10"/>
  <c r="L26" i="10"/>
  <c r="K25" i="10"/>
  <c r="J25" i="10"/>
  <c r="J26" i="10"/>
  <c r="E25" i="10"/>
  <c r="D25" i="10"/>
  <c r="D26" i="10"/>
  <c r="C25" i="10"/>
  <c r="B25" i="10"/>
  <c r="B26" i="10"/>
  <c r="Q24" i="10"/>
  <c r="P24" i="10"/>
  <c r="O24" i="10"/>
  <c r="N24" i="10"/>
  <c r="Q23" i="10"/>
  <c r="P23" i="10"/>
  <c r="P25" i="10"/>
  <c r="P26" i="10"/>
  <c r="O23" i="10"/>
  <c r="N23" i="10"/>
  <c r="N25" i="10"/>
  <c r="N26" i="10"/>
  <c r="Q22" i="10"/>
  <c r="P22" i="10"/>
  <c r="O22" i="10"/>
  <c r="N22" i="10"/>
  <c r="Q21" i="10"/>
  <c r="P21" i="10"/>
  <c r="O21" i="10"/>
  <c r="N21" i="10"/>
  <c r="I20" i="10"/>
  <c r="H20" i="10"/>
  <c r="G20" i="10"/>
  <c r="F20" i="10"/>
  <c r="M20" i="10"/>
  <c r="L20" i="10"/>
  <c r="K20" i="10"/>
  <c r="J20" i="10"/>
  <c r="E20" i="10"/>
  <c r="D20" i="10"/>
  <c r="C20" i="10"/>
  <c r="B20" i="10"/>
  <c r="Q19" i="10"/>
  <c r="P19" i="10"/>
  <c r="P20" i="10"/>
  <c r="O19" i="10"/>
  <c r="N19" i="10"/>
  <c r="N20" i="10"/>
  <c r="Q18" i="10"/>
  <c r="P18" i="10"/>
  <c r="O18" i="10"/>
  <c r="N18" i="10"/>
  <c r="Q17" i="10"/>
  <c r="P17" i="10"/>
  <c r="O17" i="10"/>
  <c r="N17" i="10"/>
  <c r="I16" i="10"/>
  <c r="H16" i="10"/>
  <c r="G16" i="10"/>
  <c r="F16" i="10"/>
  <c r="M16" i="10"/>
  <c r="L16" i="10"/>
  <c r="K16" i="10"/>
  <c r="J16" i="10"/>
  <c r="E16" i="10"/>
  <c r="D16" i="10"/>
  <c r="C16" i="10"/>
  <c r="B16" i="10"/>
  <c r="Q15" i="10"/>
  <c r="P15" i="10"/>
  <c r="P16" i="10"/>
  <c r="O15" i="10"/>
  <c r="N15" i="10"/>
  <c r="N16" i="10"/>
  <c r="Q14" i="10"/>
  <c r="P14" i="10"/>
  <c r="O14" i="10"/>
  <c r="N14" i="10"/>
  <c r="Q13" i="10"/>
  <c r="P13" i="10"/>
  <c r="O13" i="10"/>
  <c r="N13" i="10"/>
  <c r="Q10" i="10"/>
  <c r="P10" i="10"/>
  <c r="O10" i="10"/>
  <c r="N10" i="10"/>
  <c r="H64" i="12"/>
  <c r="G53" i="12"/>
  <c r="H45" i="12"/>
  <c r="F45" i="12"/>
  <c r="H18" i="12"/>
  <c r="F18" i="12"/>
  <c r="I24" i="9"/>
  <c r="H24" i="9"/>
  <c r="G24" i="9"/>
  <c r="F24" i="9"/>
  <c r="E24" i="9"/>
  <c r="D24" i="9"/>
  <c r="C24" i="9"/>
  <c r="B24" i="9"/>
  <c r="K23" i="9"/>
  <c r="J23" i="9"/>
  <c r="K22" i="9"/>
  <c r="J22" i="9"/>
  <c r="K21" i="9"/>
  <c r="J21" i="9"/>
  <c r="I20" i="9"/>
  <c r="H20" i="9"/>
  <c r="G20" i="9"/>
  <c r="F20" i="9"/>
  <c r="E20" i="9"/>
  <c r="D20" i="9"/>
  <c r="C20" i="9"/>
  <c r="B20" i="9"/>
  <c r="K19" i="9"/>
  <c r="J19" i="9"/>
  <c r="K18" i="9"/>
  <c r="J18" i="9"/>
  <c r="K17" i="9"/>
  <c r="J17" i="9"/>
  <c r="I16" i="9"/>
  <c r="H16" i="9"/>
  <c r="G16" i="9"/>
  <c r="F16" i="9"/>
  <c r="E16" i="9"/>
  <c r="D16" i="9"/>
  <c r="C16" i="9"/>
  <c r="B16" i="9"/>
  <c r="K15" i="9"/>
  <c r="J15" i="9"/>
  <c r="K14" i="9"/>
  <c r="J14" i="9"/>
  <c r="K13" i="9"/>
  <c r="J13" i="9"/>
  <c r="I12" i="9"/>
  <c r="H12" i="9"/>
  <c r="G12" i="9"/>
  <c r="F12" i="9"/>
  <c r="E12" i="9"/>
  <c r="G24" i="8"/>
  <c r="F24" i="8"/>
  <c r="F25" i="8"/>
  <c r="E24" i="8"/>
  <c r="E25" i="8"/>
  <c r="J24" i="8"/>
  <c r="I24" i="8"/>
  <c r="I25" i="8"/>
  <c r="H24" i="8"/>
  <c r="H25" i="8"/>
  <c r="D24" i="8"/>
  <c r="C24" i="8"/>
  <c r="C25" i="8"/>
  <c r="B24" i="8"/>
  <c r="B25" i="8"/>
  <c r="M23" i="8"/>
  <c r="L23" i="8"/>
  <c r="L24" i="8"/>
  <c r="L25" i="8"/>
  <c r="K23" i="8"/>
  <c r="K24" i="8"/>
  <c r="K25" i="8"/>
  <c r="M22" i="8"/>
  <c r="L22" i="8"/>
  <c r="K22" i="8"/>
  <c r="M21" i="8"/>
  <c r="L21" i="8"/>
  <c r="K21" i="8"/>
  <c r="M20" i="8"/>
  <c r="L20" i="8"/>
  <c r="K20" i="8"/>
  <c r="G19" i="8"/>
  <c r="F19" i="8"/>
  <c r="E19" i="8"/>
  <c r="J19" i="8"/>
  <c r="I19" i="8"/>
  <c r="H19" i="8"/>
  <c r="D19" i="8"/>
  <c r="C19" i="8"/>
  <c r="B19" i="8"/>
  <c r="M18" i="8"/>
  <c r="L18" i="8"/>
  <c r="L19" i="8"/>
  <c r="K18" i="8"/>
  <c r="K19" i="8"/>
  <c r="M17" i="8"/>
  <c r="L17" i="8"/>
  <c r="K17" i="8"/>
  <c r="M16" i="8"/>
  <c r="L16" i="8"/>
  <c r="K16" i="8"/>
  <c r="G15" i="8"/>
  <c r="F15" i="8"/>
  <c r="E15" i="8"/>
  <c r="J15" i="8"/>
  <c r="I15" i="8"/>
  <c r="H15" i="8"/>
  <c r="D15" i="8"/>
  <c r="C15" i="8"/>
  <c r="B15" i="8"/>
  <c r="M14" i="8"/>
  <c r="L14" i="8"/>
  <c r="L15" i="8"/>
  <c r="K14" i="8"/>
  <c r="K15" i="8"/>
  <c r="M13" i="8"/>
  <c r="L13" i="8"/>
  <c r="K13" i="8"/>
  <c r="M12" i="8"/>
  <c r="L12" i="8"/>
  <c r="K12" i="8"/>
  <c r="M9" i="8"/>
  <c r="L9" i="8"/>
  <c r="K9" i="8"/>
  <c r="C23" i="6"/>
  <c r="B23" i="6"/>
  <c r="C19" i="6"/>
  <c r="B19" i="6"/>
  <c r="C15" i="6"/>
  <c r="B15" i="6"/>
  <c r="B23" i="5"/>
  <c r="C22" i="5"/>
  <c r="C21" i="5"/>
  <c r="C20" i="5"/>
  <c r="B19" i="5"/>
  <c r="C18" i="5"/>
  <c r="C17" i="5"/>
  <c r="C16" i="5"/>
  <c r="B15" i="5"/>
  <c r="D15" i="5"/>
  <c r="C14" i="5"/>
  <c r="C13" i="5"/>
  <c r="C12" i="5"/>
  <c r="C23" i="7"/>
  <c r="B23" i="7"/>
  <c r="D22" i="7"/>
  <c r="D21" i="7"/>
  <c r="D20" i="7"/>
  <c r="C19" i="7"/>
  <c r="B19" i="7"/>
  <c r="D18" i="7"/>
  <c r="D17" i="7"/>
  <c r="D16" i="7"/>
  <c r="C15" i="7"/>
  <c r="B15" i="7"/>
  <c r="D14" i="7"/>
  <c r="D13" i="7"/>
  <c r="D12" i="7"/>
  <c r="D9" i="7"/>
  <c r="C23" i="4"/>
  <c r="C24" i="4"/>
  <c r="B23" i="4"/>
  <c r="B24" i="4"/>
  <c r="D22" i="4"/>
  <c r="F22" i="4"/>
  <c r="D21" i="4"/>
  <c r="D20" i="4"/>
  <c r="F20" i="4"/>
  <c r="F23" i="4"/>
  <c r="C19" i="4"/>
  <c r="B19" i="4"/>
  <c r="D18" i="4"/>
  <c r="F18" i="4"/>
  <c r="D17" i="4"/>
  <c r="F17" i="4"/>
  <c r="D16" i="4"/>
  <c r="F16" i="4"/>
  <c r="F19" i="4"/>
  <c r="C15" i="4"/>
  <c r="B15" i="4"/>
  <c r="D14" i="4"/>
  <c r="E14" i="4"/>
  <c r="D13" i="4"/>
  <c r="E13" i="4"/>
  <c r="D12" i="4"/>
  <c r="F12" i="4"/>
  <c r="F15" i="4"/>
  <c r="D9" i="4"/>
  <c r="O10" i="4"/>
  <c r="E22" i="3"/>
  <c r="C22" i="3"/>
  <c r="B22" i="3"/>
  <c r="F21" i="3"/>
  <c r="D21" i="3"/>
  <c r="F20" i="3"/>
  <c r="D20" i="3"/>
  <c r="F19" i="3"/>
  <c r="D19" i="3"/>
  <c r="E18" i="3"/>
  <c r="C18" i="3"/>
  <c r="B18" i="3"/>
  <c r="F17" i="3"/>
  <c r="D17" i="3"/>
  <c r="F16" i="3"/>
  <c r="D16" i="3"/>
  <c r="F15" i="3"/>
  <c r="D15" i="3"/>
  <c r="E14" i="3"/>
  <c r="E23" i="3"/>
  <c r="C14" i="3"/>
  <c r="B14" i="3"/>
  <c r="F13" i="3"/>
  <c r="D13" i="3"/>
  <c r="F12" i="3"/>
  <c r="D12" i="3"/>
  <c r="F11" i="3"/>
  <c r="D11" i="3"/>
  <c r="C10" i="3"/>
  <c r="B10" i="3"/>
  <c r="F8" i="3"/>
  <c r="D8" i="3"/>
  <c r="E25" i="1"/>
  <c r="C25" i="1"/>
  <c r="B25" i="1"/>
  <c r="F24" i="1"/>
  <c r="D24" i="1"/>
  <c r="F23" i="1"/>
  <c r="D23" i="1"/>
  <c r="F22" i="1"/>
  <c r="D22" i="1"/>
  <c r="F21" i="1"/>
  <c r="D21" i="1"/>
  <c r="E20" i="1"/>
  <c r="C20" i="1"/>
  <c r="B20" i="1"/>
  <c r="F19" i="1"/>
  <c r="D19" i="1"/>
  <c r="F18" i="1"/>
  <c r="D18" i="1"/>
  <c r="F17" i="1"/>
  <c r="D17" i="1"/>
  <c r="E16" i="1"/>
  <c r="C16" i="1"/>
  <c r="C26" i="1"/>
  <c r="B16" i="1"/>
  <c r="F15" i="1"/>
  <c r="D15" i="1"/>
  <c r="F14" i="1"/>
  <c r="D14" i="1"/>
  <c r="F13" i="1"/>
  <c r="D13" i="1"/>
  <c r="F10" i="1"/>
  <c r="D10" i="1"/>
  <c r="D23" i="5"/>
  <c r="C25" i="9"/>
  <c r="F13" i="4"/>
  <c r="F25" i="9"/>
  <c r="D25" i="9"/>
  <c r="J20" i="9"/>
  <c r="B25" i="9"/>
  <c r="N17" i="13"/>
  <c r="N22" i="13"/>
  <c r="N48" i="13"/>
  <c r="D25" i="1"/>
  <c r="H50" i="13"/>
  <c r="T50" i="13"/>
  <c r="AC50" i="13"/>
  <c r="AL50" i="13"/>
  <c r="N20" i="13"/>
  <c r="C24" i="7"/>
  <c r="L15" i="11"/>
  <c r="G32" i="12"/>
  <c r="O45" i="12"/>
  <c r="N45" i="12"/>
  <c r="I41" i="12"/>
  <c r="P45" i="12"/>
  <c r="Q45" i="12"/>
  <c r="B24" i="7"/>
  <c r="H25" i="9"/>
  <c r="J24" i="9"/>
  <c r="C23" i="15"/>
  <c r="N46" i="13"/>
  <c r="D20" i="1"/>
  <c r="D18" i="3"/>
  <c r="C23" i="5"/>
  <c r="I25" i="9"/>
  <c r="I63" i="12"/>
  <c r="Q64" i="12"/>
  <c r="P64" i="12"/>
  <c r="J24" i="11"/>
  <c r="M19" i="11"/>
  <c r="E30" i="13"/>
  <c r="AU50" i="13"/>
  <c r="F20" i="1"/>
  <c r="F25" i="1"/>
  <c r="D23" i="7"/>
  <c r="J16" i="9"/>
  <c r="G9" i="12"/>
  <c r="N18" i="12"/>
  <c r="O18" i="12"/>
  <c r="E12" i="4"/>
  <c r="E15" i="4"/>
  <c r="E20" i="4"/>
  <c r="E23" i="4"/>
  <c r="D19" i="7"/>
  <c r="Q18" i="12"/>
  <c r="P18" i="12"/>
  <c r="N45" i="13"/>
  <c r="N49" i="13"/>
  <c r="W50" i="13"/>
  <c r="I10" i="12"/>
  <c r="I9" i="12"/>
  <c r="F14" i="4"/>
  <c r="B23" i="3"/>
  <c r="F23" i="3"/>
  <c r="D11" i="4"/>
  <c r="D15" i="4"/>
  <c r="T42" i="8"/>
  <c r="T39" i="8"/>
  <c r="N26" i="13"/>
  <c r="AO30" i="13"/>
  <c r="M50" i="13"/>
  <c r="K26" i="10"/>
  <c r="B26" i="1"/>
  <c r="D26" i="1"/>
  <c r="D23" i="4"/>
  <c r="L30" i="13"/>
  <c r="N30" i="13"/>
  <c r="N12" i="13"/>
  <c r="N24" i="13"/>
  <c r="AI30" i="13"/>
  <c r="N44" i="13"/>
  <c r="M30" i="13"/>
  <c r="E22" i="4"/>
  <c r="E23" i="15"/>
  <c r="N28" i="13"/>
  <c r="N41" i="13"/>
  <c r="K24" i="9"/>
  <c r="F14" i="3"/>
  <c r="D15" i="7"/>
  <c r="S30" i="8"/>
  <c r="S42" i="8"/>
  <c r="S39" i="8"/>
  <c r="K16" i="9"/>
  <c r="K20" i="9"/>
  <c r="K19" i="11"/>
  <c r="N14" i="13"/>
  <c r="N27" i="13"/>
  <c r="Q30" i="13"/>
  <c r="AC30" i="13"/>
  <c r="AL30" i="13"/>
  <c r="L50" i="13"/>
  <c r="N40" i="13"/>
  <c r="AF50" i="13"/>
  <c r="AO50" i="13"/>
  <c r="AX50" i="13"/>
  <c r="F18" i="3"/>
  <c r="D14" i="3"/>
  <c r="D22" i="3"/>
  <c r="F22" i="3"/>
  <c r="C44" i="12"/>
  <c r="C38" i="12"/>
  <c r="C32" i="12"/>
  <c r="C43" i="12"/>
  <c r="C37" i="12"/>
  <c r="C41" i="12"/>
  <c r="C40" i="12"/>
  <c r="C39" i="12"/>
  <c r="C42" i="12"/>
  <c r="C36" i="12"/>
  <c r="C35" i="12"/>
  <c r="C34" i="12"/>
  <c r="C33" i="12"/>
  <c r="C16" i="12"/>
  <c r="C10" i="12"/>
  <c r="C15" i="12"/>
  <c r="C9" i="12"/>
  <c r="C14" i="12"/>
  <c r="C13" i="12"/>
  <c r="C12" i="12"/>
  <c r="C17" i="12"/>
  <c r="C11" i="12"/>
  <c r="D11" i="7"/>
  <c r="E17" i="4"/>
  <c r="G16" i="12"/>
  <c r="F14" i="15"/>
  <c r="G14" i="15"/>
  <c r="F18" i="15"/>
  <c r="G18" i="15"/>
  <c r="F22" i="15"/>
  <c r="G22" i="15"/>
  <c r="D16" i="1"/>
  <c r="D19" i="4"/>
  <c r="C19" i="5"/>
  <c r="E25" i="9"/>
  <c r="O12" i="10"/>
  <c r="O16" i="10"/>
  <c r="N11" i="13"/>
  <c r="N39" i="13"/>
  <c r="O9" i="4"/>
  <c r="F16" i="1"/>
  <c r="E21" i="4"/>
  <c r="E24" i="4"/>
  <c r="D24" i="4"/>
  <c r="D19" i="5"/>
  <c r="I26" i="10"/>
  <c r="E16" i="4"/>
  <c r="E19" i="4"/>
  <c r="E18" i="4"/>
  <c r="F21" i="4"/>
  <c r="F24" i="4"/>
  <c r="G25" i="9"/>
  <c r="I24" i="11"/>
  <c r="K15" i="11"/>
  <c r="L19" i="11"/>
  <c r="K23" i="11"/>
  <c r="M23" i="11"/>
  <c r="C26" i="10"/>
  <c r="M26" i="10"/>
  <c r="O25" i="10"/>
  <c r="L23" i="11"/>
  <c r="D24" i="11"/>
  <c r="M15" i="11"/>
  <c r="H24" i="11"/>
  <c r="B24" i="11"/>
  <c r="C24" i="11"/>
  <c r="Z50" i="13"/>
  <c r="I53" i="12"/>
  <c r="I55" i="12"/>
  <c r="I56" i="12"/>
  <c r="I38" i="12"/>
  <c r="I42" i="12"/>
  <c r="L11" i="11"/>
  <c r="L24" i="11"/>
  <c r="M11" i="11"/>
  <c r="Q12" i="10"/>
  <c r="K12" i="9"/>
  <c r="K25" i="9"/>
  <c r="M11" i="8"/>
  <c r="S33" i="8"/>
  <c r="E9" i="4"/>
  <c r="E11" i="4"/>
  <c r="F9" i="4"/>
  <c r="I59" i="12"/>
  <c r="Q20" i="10"/>
  <c r="G26" i="10"/>
  <c r="Q25" i="10"/>
  <c r="Q16" i="10"/>
  <c r="O20" i="10"/>
  <c r="E26" i="10"/>
  <c r="D10" i="3"/>
  <c r="F10" i="15"/>
  <c r="K11" i="11"/>
  <c r="J12" i="9"/>
  <c r="Q14" i="8"/>
  <c r="M15" i="8"/>
  <c r="J25" i="8"/>
  <c r="M19" i="8"/>
  <c r="M24" i="8"/>
  <c r="Q9" i="8"/>
  <c r="E12" i="1"/>
  <c r="F12" i="1"/>
  <c r="G13" i="12"/>
  <c r="I14" i="12"/>
  <c r="I15" i="12"/>
  <c r="I13" i="12"/>
  <c r="I11" i="12"/>
  <c r="I16" i="12"/>
  <c r="I12" i="12"/>
  <c r="I17" i="12"/>
  <c r="I32" i="12"/>
  <c r="I36" i="12"/>
  <c r="G64" i="12"/>
  <c r="I58" i="12"/>
  <c r="I62" i="12"/>
  <c r="I61" i="12"/>
  <c r="I33" i="12"/>
  <c r="I54" i="12"/>
  <c r="I57" i="12"/>
  <c r="I60" i="12"/>
  <c r="I37" i="12"/>
  <c r="I43" i="12"/>
  <c r="I34" i="12"/>
  <c r="I44" i="12"/>
  <c r="I39" i="12"/>
  <c r="G10" i="12"/>
  <c r="I40" i="12"/>
  <c r="G15" i="12"/>
  <c r="I35" i="12"/>
  <c r="G12" i="12"/>
  <c r="G42" i="12"/>
  <c r="G39" i="12"/>
  <c r="G36" i="12"/>
  <c r="G34" i="12"/>
  <c r="G44" i="12"/>
  <c r="G41" i="12"/>
  <c r="G38" i="12"/>
  <c r="G35" i="12"/>
  <c r="G33" i="12"/>
  <c r="G43" i="12"/>
  <c r="G40" i="12"/>
  <c r="G37" i="12"/>
  <c r="G11" i="12"/>
  <c r="G14" i="12"/>
  <c r="G17" i="12"/>
  <c r="T33" i="8"/>
  <c r="T30" i="8"/>
  <c r="D25" i="8"/>
  <c r="G25" i="8"/>
  <c r="B24" i="5"/>
  <c r="C15" i="5"/>
  <c r="C23" i="3"/>
  <c r="F10" i="3"/>
  <c r="N50" i="13"/>
  <c r="J25" i="9"/>
  <c r="R12" i="10"/>
  <c r="Q27" i="10"/>
  <c r="D23" i="3"/>
  <c r="U42" i="8"/>
  <c r="U39" i="8"/>
  <c r="D27" i="8"/>
  <c r="M25" i="4"/>
  <c r="M11" i="4"/>
  <c r="O11" i="4"/>
  <c r="C45" i="12"/>
  <c r="C18" i="12"/>
  <c r="U33" i="8"/>
  <c r="U30" i="8"/>
  <c r="G27" i="8"/>
  <c r="G26" i="8"/>
  <c r="M25" i="8"/>
  <c r="K24" i="11"/>
  <c r="O26" i="10"/>
  <c r="J26" i="8"/>
  <c r="M24" i="11"/>
  <c r="Q26" i="10"/>
  <c r="J27" i="8"/>
  <c r="B25" i="7"/>
  <c r="C25" i="7"/>
  <c r="D24" i="7"/>
  <c r="F11" i="4"/>
  <c r="I18" i="12"/>
  <c r="O27" i="10"/>
  <c r="D26" i="8"/>
  <c r="I64" i="12"/>
  <c r="I45" i="12"/>
  <c r="G18" i="12"/>
  <c r="E26" i="1"/>
  <c r="F26" i="1"/>
  <c r="G10" i="15"/>
  <c r="F23" i="15"/>
  <c r="G23" i="15"/>
  <c r="G45" i="12"/>
  <c r="Z14" i="13"/>
  <c r="Z13" i="13"/>
  <c r="X30" i="13"/>
  <c r="Y30" i="13"/>
  <c r="U8" i="8"/>
  <c r="V10" i="8"/>
  <c r="Z3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 Jaquez Adames</author>
    <author>César Augusto Roa Meran</author>
  </authors>
  <commentList>
    <comment ref="J3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Este total incluye tambien las pensiones solidarias</t>
        </r>
      </text>
    </comment>
    <comment ref="L34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También incluye el monto de las pensiones solidarias.</t>
        </r>
      </text>
    </comment>
    <comment ref="A4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Modificar esta nota cuando se haga el ajuste. 
Como la variación presentará un pico, favor especificar.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 Jaquez Adames</author>
  </authors>
  <commentList>
    <comment ref="E6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Estas columnas se pueden eliminar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 Jaquez Adames</author>
  </authors>
  <commentList>
    <comment ref="B31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Indicar que los datos han sido generado en SIJUPEN. Colocar la misma nota que en el otro cuadro.</t>
        </r>
      </text>
    </comment>
  </commentList>
</comments>
</file>

<file path=xl/sharedStrings.xml><?xml version="1.0" encoding="utf-8"?>
<sst xmlns="http://schemas.openxmlformats.org/spreadsheetml/2006/main" count="853" uniqueCount="244">
  <si>
    <t>Dirección General de Jubilaciones y Pensiones a Cargo del Estado</t>
  </si>
  <si>
    <t>Mes</t>
  </si>
  <si>
    <t>Cotizantes</t>
  </si>
  <si>
    <t>% Cotizantes</t>
  </si>
  <si>
    <t>No Cotizantes</t>
  </si>
  <si>
    <t>% No Cotizantes</t>
  </si>
  <si>
    <t>Direccion General de Jubilaciones y Pensiones a Cargo del Estado</t>
  </si>
  <si>
    <t>Distribución de Cotizantes por Tipo de Empleador</t>
  </si>
  <si>
    <t>Privado</t>
  </si>
  <si>
    <t>Total</t>
  </si>
  <si>
    <t>Distribución de Aportes</t>
  </si>
  <si>
    <t xml:space="preserve">Mes </t>
  </si>
  <si>
    <t>Cantidad de Aportes</t>
  </si>
  <si>
    <t>Cantidad de traspasos</t>
  </si>
  <si>
    <t>Individualización por tipo de Empleador</t>
  </si>
  <si>
    <t>DGJP</t>
  </si>
  <si>
    <t>PN</t>
  </si>
  <si>
    <t>TOTAL</t>
  </si>
  <si>
    <t>Cantidad Pensionados</t>
  </si>
  <si>
    <t>Cantidad Pensiones</t>
  </si>
  <si>
    <t>Monto</t>
  </si>
  <si>
    <t>Inclusiones</t>
  </si>
  <si>
    <t>Exclusiones</t>
  </si>
  <si>
    <t>Suspensiones</t>
  </si>
  <si>
    <t>Cantidad</t>
  </si>
  <si>
    <t>TOTAL GENERAL</t>
  </si>
  <si>
    <t>Electrónico</t>
  </si>
  <si>
    <t>Cheque</t>
  </si>
  <si>
    <t>Cantidad de Pensiones</t>
  </si>
  <si>
    <t>Cantidad  Pensiones</t>
  </si>
  <si>
    <t>Cantidad Electrónico</t>
  </si>
  <si>
    <t>Cantidad Cheque</t>
  </si>
  <si>
    <t>% Recuperado</t>
  </si>
  <si>
    <t>Restante</t>
  </si>
  <si>
    <t>Absoluto (RD$)</t>
  </si>
  <si>
    <t>Relativo</t>
  </si>
  <si>
    <t>Abril</t>
  </si>
  <si>
    <t>Mayo</t>
  </si>
  <si>
    <t>Junio</t>
  </si>
  <si>
    <t xml:space="preserve">Tipo de Pensión </t>
  </si>
  <si>
    <t xml:space="preserve">Tipo  </t>
  </si>
  <si>
    <t>Porcentaje</t>
  </si>
  <si>
    <t>PENSIÓN CIVIL</t>
  </si>
  <si>
    <t>IDSS</t>
  </si>
  <si>
    <t>GLORIAS DEL DEPORTE</t>
  </si>
  <si>
    <t>PODER LEGISLATIVO</t>
  </si>
  <si>
    <t>PODER EJECUTIVO</t>
  </si>
  <si>
    <t>PENSION POR SOBREVIVENCIA</t>
  </si>
  <si>
    <t>TOTALES:</t>
  </si>
  <si>
    <t>Cantidad 
Pensionados</t>
  </si>
  <si>
    <t xml:space="preserve">Público 
</t>
  </si>
  <si>
    <t>Cantidad 
Pensiones</t>
  </si>
  <si>
    <t>Cantidad 
Solicitudes</t>
  </si>
  <si>
    <t>Monto 
Solicitado</t>
  </si>
  <si>
    <t>Monto Recuperado 
Años Anteriores</t>
  </si>
  <si>
    <t>Monto Recuperado 
Año en Curso</t>
  </si>
  <si>
    <t>Total 
Recuperado</t>
  </si>
  <si>
    <t>Pensiones por Monto</t>
  </si>
  <si>
    <t>Rango</t>
  </si>
  <si>
    <t xml:space="preserve">Cantidad </t>
  </si>
  <si>
    <t>Menos de RD$5117.50</t>
  </si>
  <si>
    <t>Igual a RD$5117.51</t>
  </si>
  <si>
    <t>&gt;=100,000.00</t>
  </si>
  <si>
    <t>Pensiones por Edad</t>
  </si>
  <si>
    <t xml:space="preserve">Descripción </t>
  </si>
  <si>
    <t>Recibidas</t>
  </si>
  <si>
    <t>Procesadas</t>
  </si>
  <si>
    <t>% Eficiencia</t>
  </si>
  <si>
    <t>Aplicación Descuento 2%</t>
  </si>
  <si>
    <t xml:space="preserve">Certificación </t>
  </si>
  <si>
    <t>Modificación de Datos</t>
  </si>
  <si>
    <t>Pensión por Sobrevivencia Concubin@</t>
  </si>
  <si>
    <t>Pensión por Sobrevivencia Conyuge</t>
  </si>
  <si>
    <t>Reactivación</t>
  </si>
  <si>
    <t>Reembolso</t>
  </si>
  <si>
    <t>Reinclusión</t>
  </si>
  <si>
    <t>Retroactivo</t>
  </si>
  <si>
    <t>Solicitud Inclusión a Nómina</t>
  </si>
  <si>
    <t>Solicitud de Pensión</t>
  </si>
  <si>
    <t>Suspensión Descuento 2%</t>
  </si>
  <si>
    <t>Suspensión por Laborar Nuevamente en el Estado</t>
  </si>
  <si>
    <t>Total:</t>
  </si>
  <si>
    <t>Pensión por Sobrevivencia Menor</t>
  </si>
  <si>
    <t>Reajuste de Pensión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</si>
  <si>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</si>
  <si>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</si>
  <si>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</si>
  <si>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</si>
  <si>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</si>
  <si>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</si>
  <si>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</si>
  <si>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</si>
  <si>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</si>
  <si>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1er Trimestre</t>
  </si>
  <si>
    <t>3er Trimestre</t>
  </si>
  <si>
    <t>4to Trimestre</t>
  </si>
  <si>
    <t>Solicitudes Recibidas</t>
  </si>
  <si>
    <t>Cantidad de Tramites Procesados</t>
  </si>
  <si>
    <t>% Privado</t>
  </si>
  <si>
    <t>% Público</t>
  </si>
  <si>
    <t>10,000.00 - 20,000.00</t>
  </si>
  <si>
    <t>5,117.50 - 10,000.00</t>
  </si>
  <si>
    <t>20,000.00 - 30,000.00</t>
  </si>
  <si>
    <t>30,000.00 - 40,000.00</t>
  </si>
  <si>
    <t>40,000.00 - 50,000.00</t>
  </si>
  <si>
    <t>50,000.00 - 60,000.00</t>
  </si>
  <si>
    <t>60,000.00 - 70,000.00</t>
  </si>
  <si>
    <t>70,000.00 - 80,000.00</t>
  </si>
  <si>
    <t>80,000.00 - 90,000.00</t>
  </si>
  <si>
    <t>90,000.00 - 100,000.00</t>
  </si>
  <si>
    <t>18-30</t>
  </si>
  <si>
    <t>30-40</t>
  </si>
  <si>
    <t>40-50</t>
  </si>
  <si>
    <t>50-60</t>
  </si>
  <si>
    <t>60-70</t>
  </si>
  <si>
    <t>70-80</t>
  </si>
  <si>
    <t>80-90</t>
  </si>
  <si>
    <t>90-100</t>
  </si>
  <si>
    <t>Menos 18 años</t>
  </si>
  <si>
    <t xml:space="preserve">Electrónico </t>
  </si>
  <si>
    <t>Pensión por Sobrevivencia Concubinato</t>
  </si>
  <si>
    <t>Departamento Administrativo y Financiero</t>
  </si>
  <si>
    <t>Departamento de Gestión Financiera de Pensiones</t>
  </si>
  <si>
    <t>División de Seguimiento al Sistema de Reparto</t>
  </si>
  <si>
    <t>Gestión de Servicios a Pensionados</t>
  </si>
  <si>
    <t>Dirección de Servicios y Trámite de Pensiones</t>
  </si>
  <si>
    <t>PABELLÓN DE LA FAMA</t>
  </si>
  <si>
    <t>T4</t>
  </si>
  <si>
    <t>Regalía</t>
  </si>
  <si>
    <t>Diciembre**</t>
  </si>
  <si>
    <t xml:space="preserve"> **Estos totales incluyen las nóminas adicionales de regalía de pensionados inactivos.</t>
  </si>
  <si>
    <t>2do Trimestre</t>
  </si>
  <si>
    <t xml:space="preserve">Julio </t>
  </si>
  <si>
    <t>Promedio
2do Trimestre</t>
  </si>
  <si>
    <t>Promedio
3er Trimestre</t>
  </si>
  <si>
    <t>Promedio
4to Trimestre</t>
  </si>
  <si>
    <t>T2</t>
  </si>
  <si>
    <t>T3</t>
  </si>
  <si>
    <t>Público (RD$)</t>
  </si>
  <si>
    <t>Privado (RD$)</t>
  </si>
  <si>
    <t>Total (RD$)</t>
  </si>
  <si>
    <t>Pensiones Solidarias</t>
  </si>
  <si>
    <t>Δ Absoluta</t>
  </si>
  <si>
    <t>Δ Relativa</t>
  </si>
  <si>
    <t>Pensiones</t>
  </si>
  <si>
    <t>Variaciones</t>
  </si>
  <si>
    <t>Registro de Poder</t>
  </si>
  <si>
    <t>Abril-Junio 2019</t>
  </si>
  <si>
    <t xml:space="preserve">Cantidad* </t>
  </si>
  <si>
    <t>Monto*</t>
  </si>
  <si>
    <t>Pensionados</t>
  </si>
  <si>
    <t>Ajustes Monto Pensiones</t>
  </si>
  <si>
    <t>POLICÍA NACIONAL</t>
  </si>
  <si>
    <t>PENSIÓN SOLIDARIA</t>
  </si>
  <si>
    <r>
      <t>*</t>
    </r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Datos extraídos de SIJUPEN.</t>
    </r>
  </si>
  <si>
    <t>*Datos extraídos de SIJUPEN.</t>
  </si>
  <si>
    <t>Ejecución Presupuesto Administrativo</t>
  </si>
  <si>
    <t>*Fuente: SIGEF</t>
  </si>
  <si>
    <t>Ejecución Presupuesto Pensionados</t>
  </si>
  <si>
    <r>
      <rPr>
        <b/>
        <sz val="8"/>
        <color rgb="FF000000"/>
        <rFont val="Calibri"/>
        <family val="2"/>
        <scheme val="minor"/>
      </rPr>
      <t>*Nota:</t>
    </r>
    <r>
      <rPr>
        <sz val="8"/>
        <color rgb="FF000000"/>
        <rFont val="Calibri"/>
        <family val="2"/>
        <scheme val="minor"/>
      </rPr>
      <t xml:space="preserve"> No incluye los pensionados de la Policía Nacional ni los pensionados por pensión solidaria.</t>
    </r>
  </si>
  <si>
    <t>Nómina de Pensionados</t>
  </si>
  <si>
    <t>Movimientos en Nómina</t>
  </si>
  <si>
    <t>Modalidad de Pago</t>
  </si>
  <si>
    <t>Pago de Retroactivos</t>
  </si>
  <si>
    <t>Recuperación de Fondos</t>
  </si>
  <si>
    <t>Cantidad de Cotizantes por Tipo de Empleador</t>
  </si>
  <si>
    <t>Año 2021</t>
  </si>
  <si>
    <t>Estadíticas Trimestre Enero-Marzo</t>
  </si>
  <si>
    <t>Reintegro de Cheques</t>
  </si>
  <si>
    <t>Cantidad 
de Cheques</t>
  </si>
  <si>
    <t xml:space="preserve"> *Estos totales incluyen las nóminas adicionales de regalía de pensionados inactivos.</t>
  </si>
  <si>
    <t>Créditos Rechazados</t>
  </si>
  <si>
    <t xml:space="preserve">Cantidad 
</t>
  </si>
  <si>
    <t>Individualización de aportes por tipo de Empleador</t>
  </si>
  <si>
    <t>Fuente: Boletín Mensual SIPEN</t>
  </si>
  <si>
    <t>Fuente: SIGEF</t>
  </si>
  <si>
    <t>Fuente: SIJUPEN</t>
  </si>
  <si>
    <t>Pensión por Sobrevivencia Padre/Madre</t>
  </si>
  <si>
    <t>Modificación de Datos Críticos</t>
  </si>
  <si>
    <t>Pensión por Sobrevivencia Padr/Madre</t>
  </si>
  <si>
    <t>Sin fecha de nacimiento</t>
  </si>
  <si>
    <t>Presupuesto Programado</t>
  </si>
  <si>
    <t>Presupuesto Ejecutado</t>
  </si>
  <si>
    <t>Cantidad de Traspasos</t>
  </si>
  <si>
    <t>Recibidos (SCI a Reparto)</t>
  </si>
  <si>
    <t>Cedidos (Reparto a SCI)</t>
  </si>
  <si>
    <t>Trimestre Enero-Marzo
Al 31 de Marzo 2021</t>
  </si>
  <si>
    <t>Tipo Cantidad Porcentaje Monto Porcentaje</t>
  </si>
  <si>
    <t>PENSIÓN</t>
  </si>
  <si>
    <t>CIVIL</t>
  </si>
  <si>
    <t>GLORIAS</t>
  </si>
  <si>
    <t>DEL</t>
  </si>
  <si>
    <t>DEPORTE</t>
  </si>
  <si>
    <t>PABELLÓN</t>
  </si>
  <si>
    <t>DE</t>
  </si>
  <si>
    <t>LA</t>
  </si>
  <si>
    <t>FAMA</t>
  </si>
  <si>
    <t>PODER</t>
  </si>
  <si>
    <t>LEGISLATIVO</t>
  </si>
  <si>
    <t>EJECUTIVO</t>
  </si>
  <si>
    <t>POLICÍA</t>
  </si>
  <si>
    <t>NACIONAL</t>
  </si>
  <si>
    <t>SOLIDARIA</t>
  </si>
  <si>
    <t>PENSION</t>
  </si>
  <si>
    <t>POR</t>
  </si>
  <si>
    <t>SOBREVIVENCIA</t>
  </si>
  <si>
    <t>Cantidad*</t>
  </si>
  <si>
    <t>Menos</t>
  </si>
  <si>
    <t>de</t>
  </si>
  <si>
    <t>RD$5117.50</t>
  </si>
  <si>
    <t>Igual</t>
  </si>
  <si>
    <t>a</t>
  </si>
  <si>
    <t>RD$5117.51</t>
  </si>
  <si>
    <t>-</t>
  </si>
  <si>
    <t>con</t>
  </si>
  <si>
    <t>Nacimiento</t>
  </si>
  <si>
    <t>Cantidad 
(Var Absoluta)</t>
  </si>
  <si>
    <t>Monto
(Var Absoluta)</t>
  </si>
  <si>
    <t>Porcentaje
(Var Porcentual)</t>
  </si>
  <si>
    <t>Trimestre Abril-Junio
Al 30 de Junio 2021</t>
  </si>
  <si>
    <t>Estadíticas Trimestre Abril-Junio</t>
  </si>
  <si>
    <t>Afiliados</t>
  </si>
  <si>
    <t>Afiliados y Cotizantes</t>
  </si>
  <si>
    <t>Enero-Abril 2021</t>
  </si>
  <si>
    <t>Abril-Junio 2020</t>
  </si>
  <si>
    <t>Estadísticas Trimestre Julio-Septiembre</t>
  </si>
  <si>
    <t>Promedio 3er Trimestre</t>
  </si>
  <si>
    <t>Ajuste de Partidas Devengadas</t>
  </si>
  <si>
    <t>Programación Total</t>
  </si>
  <si>
    <t>Programación Presupuestaria</t>
  </si>
  <si>
    <t>Programación Ordinaria (RD$)</t>
  </si>
  <si>
    <t>Ejecución Presupuestaria</t>
  </si>
  <si>
    <t xml:space="preserve"> Ejecutado</t>
  </si>
  <si>
    <t>Trimestre Julio-Septiembre
Al 30 de Septiembre 2021</t>
  </si>
  <si>
    <t>Estadíticas Trimestre Julio-Septiembre</t>
  </si>
  <si>
    <t>3er Trimestre*</t>
  </si>
  <si>
    <t>*Nota: Para el calculo de las variaciones de Julio, se utilizó la cantidad de aportes de Junio 2021 (33,768);
Para las variaciones del trimestre, el total de aportes correspondientes al Trimestre Abril-Junio 2021 (T2) (101,087).</t>
  </si>
  <si>
    <r>
      <t>*</t>
    </r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No incluye los pensionados de la Policía Nacional</t>
    </r>
  </si>
  <si>
    <t>*Datos generados de SIJUPEN al 01 octubre 2021.</t>
  </si>
  <si>
    <t>Pensiones Civiles</t>
  </si>
  <si>
    <r>
      <rPr>
        <b/>
        <sz val="7"/>
        <color theme="1"/>
        <rFont val="Calibri"/>
        <family val="2"/>
        <scheme val="minor"/>
      </rPr>
      <t>Nota</t>
    </r>
    <r>
      <rPr>
        <sz val="7"/>
        <color theme="1"/>
        <rFont val="Calibri"/>
        <family val="2"/>
        <scheme val="minor"/>
      </rPr>
      <t>: Programado vs lo no ejecutado en los meses julio y agosto se debe a proceso pendiente por concluir, los cuales se ejecutan en los meses siguientes.</t>
    </r>
  </si>
  <si>
    <r>
      <rPr>
        <b/>
        <sz val="7"/>
        <color theme="1"/>
        <rFont val="Calibri"/>
        <family val="2"/>
        <scheme val="minor"/>
      </rPr>
      <t>*Nota</t>
    </r>
    <r>
      <rPr>
        <sz val="7"/>
        <color theme="1"/>
        <rFont val="Calibri"/>
        <family val="2"/>
        <scheme val="minor"/>
      </rPr>
      <t>: El Monto ejecutado mensual corresponde al pago de nómina del mes, más los retroactivos del mes anterior (T-2),</t>
    </r>
  </si>
  <si>
    <r>
      <rPr>
        <b/>
        <sz val="7"/>
        <color theme="1"/>
        <rFont val="Calibri"/>
        <family val="2"/>
        <scheme val="minor"/>
      </rPr>
      <t>*Nota</t>
    </r>
    <r>
      <rPr>
        <sz val="7"/>
        <color theme="1"/>
        <rFont val="Calibri"/>
        <family val="2"/>
        <scheme val="minor"/>
      </rPr>
      <t>: Se presenta la información en base a los tramites gestionados dentro del mes por las distintas divisiones del departamento de Gestión Financiera</t>
    </r>
  </si>
  <si>
    <r>
      <t xml:space="preserve">Nota: </t>
    </r>
    <r>
      <rPr>
        <sz val="8"/>
        <rFont val="Calibri"/>
        <family val="2"/>
        <scheme val="minor"/>
      </rPr>
      <t>El pico que se visualiza</t>
    </r>
    <r>
      <rPr>
        <sz val="8"/>
        <color theme="1"/>
        <rFont val="Calibri"/>
        <family val="2"/>
        <scheme val="minor"/>
      </rPr>
      <t xml:space="preserve"> en el mes de Agosto, corresponde a que </t>
    </r>
    <r>
      <rPr>
        <sz val="8"/>
        <rFont val="Calibri"/>
        <family val="2"/>
        <scheme val="minor"/>
      </rPr>
      <t>en el último día del mes de julio se recibió una gran cantidad de aportes, realizados por Empleadores del Sistema Dominicano de Seguridad Social (SDSS) y los mismos fueron notificados el primer dia del mes de Agosto.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</si>
</sst>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RD$&quot;#,##0.00"/>
    <numFmt numFmtId="167" formatCode="&quot;$&quot;#,##0.00"/>
    <numFmt numFmtId="168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279">
    <xf numFmtId="0" fontId="0" fillId="0" borderId="0" xfId="0"/>
    <xf numFmtId="0" fontId="0" fillId="0" borderId="0" xfId="0" applyProtection="1">
      <protection locked="0"/>
    </xf>
    <xf numFmtId="9" fontId="5" fillId="0" borderId="0" xfId="0" applyNumberFormat="1" applyFont="1" applyFill="1" applyBorder="1" applyAlignment="1" applyProtection="1">
      <alignment horizontal="center" vertical="center"/>
    </xf>
    <xf numFmtId="9" fontId="7" fillId="7" borderId="0" xfId="0" applyNumberFormat="1" applyFont="1" applyFill="1" applyBorder="1" applyAlignment="1" applyProtection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vertical="center"/>
    </xf>
    <xf numFmtId="9" fontId="3" fillId="7" borderId="0" xfId="0" applyNumberFormat="1" applyFont="1" applyFill="1" applyBorder="1" applyAlignment="1" applyProtection="1">
      <alignment horizontal="center" vertical="center"/>
    </xf>
    <xf numFmtId="9" fontId="3" fillId="10" borderId="0" xfId="0" applyNumberFormat="1" applyFont="1" applyFill="1" applyBorder="1" applyAlignment="1" applyProtection="1">
      <alignment horizontal="center" vertical="center"/>
    </xf>
    <xf numFmtId="9" fontId="7" fillId="10" borderId="0" xfId="0" applyNumberFormat="1" applyFont="1" applyFill="1" applyBorder="1" applyAlignment="1" applyProtection="1">
      <alignment horizontal="center" vertical="center"/>
    </xf>
    <xf numFmtId="3" fontId="6" fillId="7" borderId="0" xfId="0" applyNumberFormat="1" applyFont="1" applyFill="1" applyBorder="1" applyAlignment="1" applyProtection="1">
      <alignment horizontal="center" vertical="center"/>
    </xf>
    <xf numFmtId="165" fontId="6" fillId="7" borderId="0" xfId="2" applyNumberFormat="1" applyFont="1" applyFill="1" applyBorder="1" applyAlignment="1" applyProtection="1">
      <alignment horizontal="center" vertical="center"/>
    </xf>
    <xf numFmtId="3" fontId="6" fillId="10" borderId="0" xfId="0" applyNumberFormat="1" applyFont="1" applyFill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left" vertical="center"/>
      <protection locked="0"/>
    </xf>
    <xf numFmtId="165" fontId="6" fillId="7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9" fontId="6" fillId="7" borderId="0" xfId="1" applyFont="1" applyFill="1" applyBorder="1" applyAlignment="1" applyProtection="1">
      <alignment horizontal="center" vertical="center"/>
    </xf>
    <xf numFmtId="9" fontId="0" fillId="0" borderId="0" xfId="1" applyNumberFormat="1" applyFont="1" applyFill="1" applyBorder="1" applyAlignment="1" applyProtection="1">
      <alignment horizontal="center" vertical="center"/>
    </xf>
    <xf numFmtId="9" fontId="6" fillId="10" borderId="0" xfId="1" applyFont="1" applyFill="1" applyBorder="1" applyAlignment="1" applyProtection="1">
      <alignment horizontal="center" vertical="center"/>
    </xf>
    <xf numFmtId="9" fontId="0" fillId="0" borderId="0" xfId="1" applyFont="1" applyProtection="1">
      <protection locked="0"/>
    </xf>
    <xf numFmtId="3" fontId="2" fillId="0" borderId="0" xfId="0" applyNumberFormat="1" applyFont="1" applyBorder="1" applyAlignment="1" applyProtection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3" fontId="6" fillId="10" borderId="0" xfId="0" applyNumberFormat="1" applyFont="1" applyFill="1" applyBorder="1" applyAlignment="1" applyProtection="1">
      <alignment horizontal="left" vertical="center" wrapText="1"/>
    </xf>
    <xf numFmtId="9" fontId="2" fillId="9" borderId="0" xfId="1" applyFont="1" applyFill="1" applyAlignment="1" applyProtection="1">
      <alignment horizontal="center"/>
    </xf>
    <xf numFmtId="0" fontId="2" fillId="9" borderId="0" xfId="0" applyFont="1" applyFill="1" applyProtection="1"/>
    <xf numFmtId="3" fontId="3" fillId="0" borderId="0" xfId="0" applyNumberFormat="1" applyFont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left" vertical="center"/>
    </xf>
    <xf numFmtId="0" fontId="6" fillId="10" borderId="0" xfId="0" applyFont="1" applyFill="1" applyBorder="1" applyAlignment="1" applyProtection="1">
      <alignment horizontal="left" vertical="center" wrapText="1"/>
    </xf>
    <xf numFmtId="0" fontId="6" fillId="10" borderId="0" xfId="0" applyFont="1" applyFill="1" applyBorder="1" applyAlignment="1" applyProtection="1">
      <alignment horizontal="center" vertical="center" wrapText="1"/>
    </xf>
    <xf numFmtId="0" fontId="0" fillId="10" borderId="0" xfId="0" applyFill="1" applyProtection="1"/>
    <xf numFmtId="0" fontId="4" fillId="0" borderId="0" xfId="0" applyFont="1" applyBorder="1" applyAlignment="1" applyProtection="1">
      <alignment horizontal="left" vertical="center"/>
      <protection locked="0"/>
    </xf>
    <xf numFmtId="165" fontId="4" fillId="0" borderId="0" xfId="2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>
      <alignment horizontal="center" vertical="center"/>
    </xf>
    <xf numFmtId="165" fontId="12" fillId="7" borderId="0" xfId="2" applyNumberFormat="1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horizontal="center"/>
    </xf>
    <xf numFmtId="165" fontId="12" fillId="1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5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/>
    </xf>
    <xf numFmtId="0" fontId="6" fillId="10" borderId="0" xfId="0" applyFont="1" applyFill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3" fontId="8" fillId="0" borderId="0" xfId="0" applyNumberFormat="1" applyFont="1" applyBorder="1" applyAlignment="1" applyProtection="1">
      <alignment horizontal="center" vertical="top"/>
      <protection locked="0"/>
    </xf>
    <xf numFmtId="4" fontId="8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vertical="center"/>
    </xf>
    <xf numFmtId="37" fontId="12" fillId="7" borderId="0" xfId="2" applyNumberFormat="1" applyFont="1" applyFill="1" applyBorder="1" applyAlignment="1" applyProtection="1">
      <alignment horizontal="right" vertical="center"/>
    </xf>
    <xf numFmtId="43" fontId="3" fillId="0" borderId="0" xfId="2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vertical="center"/>
    </xf>
    <xf numFmtId="37" fontId="12" fillId="10" borderId="0" xfId="2" applyNumberFormat="1" applyFont="1" applyFill="1" applyBorder="1" applyAlignment="1" applyProtection="1">
      <alignment horizontal="right" vertical="center"/>
    </xf>
    <xf numFmtId="43" fontId="4" fillId="0" borderId="0" xfId="2" applyFont="1" applyBorder="1" applyAlignment="1" applyProtection="1">
      <alignment horizontal="center"/>
      <protection locked="0"/>
    </xf>
    <xf numFmtId="0" fontId="6" fillId="1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top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43" fontId="3" fillId="0" borderId="0" xfId="2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/>
    <xf numFmtId="9" fontId="4" fillId="0" borderId="0" xfId="1" applyFont="1" applyBorder="1" applyAlignment="1" applyProtection="1">
      <alignment horizontal="center"/>
    </xf>
    <xf numFmtId="165" fontId="3" fillId="0" borderId="0" xfId="2" applyNumberFormat="1" applyFont="1" applyBorder="1" applyAlignment="1" applyProtection="1"/>
    <xf numFmtId="3" fontId="6" fillId="7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6" fillId="10" borderId="0" xfId="0" applyFont="1" applyFill="1" applyBorder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43" fontId="6" fillId="7" borderId="0" xfId="2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9" fontId="8" fillId="0" borderId="0" xfId="1" applyNumberFormat="1" applyFont="1" applyBorder="1" applyAlignment="1" applyProtection="1">
      <alignment horizontal="center" vertical="top"/>
    </xf>
    <xf numFmtId="9" fontId="0" fillId="0" borderId="0" xfId="1" applyNumberFormat="1" applyFont="1" applyBorder="1" applyAlignment="1" applyProtection="1">
      <alignment horizontal="center"/>
    </xf>
    <xf numFmtId="164" fontId="8" fillId="0" borderId="0" xfId="1" applyNumberFormat="1" applyFont="1" applyBorder="1" applyAlignment="1" applyProtection="1">
      <alignment horizontal="center" vertical="top"/>
    </xf>
    <xf numFmtId="3" fontId="16" fillId="0" borderId="0" xfId="0" applyNumberFormat="1" applyFont="1" applyBorder="1" applyAlignment="1" applyProtection="1">
      <alignment horizontal="center" vertical="center"/>
    </xf>
    <xf numFmtId="3" fontId="17" fillId="7" borderId="0" xfId="0" applyNumberFormat="1" applyFont="1" applyFill="1" applyBorder="1" applyAlignment="1" applyProtection="1">
      <alignment horizontal="center" vertical="center"/>
    </xf>
    <xf numFmtId="165" fontId="0" fillId="1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13" borderId="0" xfId="0" applyFill="1" applyAlignment="1" applyProtection="1">
      <protection locked="0"/>
    </xf>
    <xf numFmtId="10" fontId="8" fillId="0" borderId="0" xfId="1" applyNumberFormat="1" applyFont="1" applyBorder="1" applyAlignment="1" applyProtection="1">
      <alignment horizontal="center" vertical="top"/>
    </xf>
    <xf numFmtId="10" fontId="8" fillId="12" borderId="0" xfId="1" applyNumberFormat="1" applyFont="1" applyFill="1" applyBorder="1" applyAlignment="1" applyProtection="1">
      <alignment horizontal="center" vertical="top"/>
    </xf>
    <xf numFmtId="10" fontId="8" fillId="0" borderId="0" xfId="1" applyNumberFormat="1" applyFont="1" applyFill="1" applyBorder="1" applyAlignment="1" applyProtection="1">
      <alignment horizontal="center" vertical="top"/>
    </xf>
    <xf numFmtId="3" fontId="6" fillId="7" borderId="0" xfId="0" applyNumberFormat="1" applyFont="1" applyFill="1" applyBorder="1" applyAlignment="1" applyProtection="1">
      <alignment horizontal="center"/>
    </xf>
    <xf numFmtId="10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vertical="center"/>
    </xf>
    <xf numFmtId="3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3" fontId="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Protection="1"/>
    <xf numFmtId="0" fontId="3" fillId="5" borderId="0" xfId="0" applyFont="1" applyFill="1" applyBorder="1" applyAlignment="1" applyProtection="1">
      <alignment horizontal="left" vertical="center"/>
    </xf>
    <xf numFmtId="10" fontId="6" fillId="7" borderId="0" xfId="1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3" fontId="8" fillId="0" borderId="4" xfId="0" applyNumberFormat="1" applyFont="1" applyBorder="1" applyAlignment="1" applyProtection="1">
      <alignment horizontal="center" vertical="top"/>
      <protection locked="0"/>
    </xf>
    <xf numFmtId="9" fontId="0" fillId="0" borderId="5" xfId="1" applyNumberFormat="1" applyFont="1" applyBorder="1" applyAlignment="1" applyProtection="1">
      <alignment horizontal="center"/>
    </xf>
    <xf numFmtId="164" fontId="0" fillId="0" borderId="5" xfId="1" applyNumberFormat="1" applyFont="1" applyBorder="1" applyAlignment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 vertical="center"/>
    </xf>
    <xf numFmtId="9" fontId="6" fillId="7" borderId="7" xfId="1" applyFont="1" applyFill="1" applyBorder="1" applyAlignment="1" applyProtection="1">
      <alignment horizontal="center" vertical="center"/>
    </xf>
    <xf numFmtId="3" fontId="6" fillId="7" borderId="7" xfId="0" applyNumberFormat="1" applyFont="1" applyFill="1" applyBorder="1" applyAlignment="1" applyProtection="1">
      <alignment horizontal="center" vertical="center"/>
    </xf>
    <xf numFmtId="9" fontId="6" fillId="7" borderId="8" xfId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vertical="top"/>
    </xf>
    <xf numFmtId="0" fontId="6" fillId="7" borderId="11" xfId="0" applyFont="1" applyFill="1" applyBorder="1" applyAlignment="1" applyProtection="1">
      <alignment horizontal="center" vertical="center"/>
    </xf>
    <xf numFmtId="9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10" xfId="0" applyFont="1" applyFill="1" applyBorder="1" applyAlignment="1" applyProtection="1">
      <alignment vertical="center"/>
    </xf>
    <xf numFmtId="166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10" fontId="0" fillId="0" borderId="5" xfId="1" applyNumberFormat="1" applyFont="1" applyBorder="1" applyAlignment="1" applyProtection="1">
      <alignment horizontal="center"/>
    </xf>
    <xf numFmtId="10" fontId="0" fillId="0" borderId="5" xfId="1" applyNumberFormat="1" applyFont="1" applyFill="1" applyBorder="1" applyAlignment="1" applyProtection="1">
      <alignment horizontal="center"/>
    </xf>
    <xf numFmtId="14" fontId="0" fillId="0" borderId="0" xfId="0" applyNumberFormat="1"/>
    <xf numFmtId="0" fontId="2" fillId="0" borderId="10" xfId="0" applyFont="1" applyFill="1" applyBorder="1" applyAlignment="1" applyProtection="1">
      <alignment horizontal="center" vertical="center"/>
    </xf>
    <xf numFmtId="166" fontId="2" fillId="12" borderId="10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9" fontId="0" fillId="12" borderId="5" xfId="1" applyNumberFormat="1" applyFon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9" fontId="6" fillId="7" borderId="7" xfId="1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10" fontId="8" fillId="0" borderId="5" xfId="1" applyNumberFormat="1" applyFont="1" applyBorder="1" applyAlignment="1" applyProtection="1">
      <alignment horizontal="center" vertical="top"/>
    </xf>
    <xf numFmtId="10" fontId="8" fillId="0" borderId="5" xfId="1" applyNumberFormat="1" applyFont="1" applyFill="1" applyBorder="1" applyAlignment="1" applyProtection="1">
      <alignment horizontal="center" vertical="top"/>
    </xf>
    <xf numFmtId="43" fontId="0" fillId="0" borderId="0" xfId="2" applyFont="1" applyProtection="1">
      <protection locked="0"/>
    </xf>
    <xf numFmtId="164" fontId="0" fillId="0" borderId="0" xfId="1" applyNumberFormat="1" applyFont="1" applyBorder="1" applyAlignment="1" applyProtection="1">
      <alignment horizontal="center"/>
    </xf>
    <xf numFmtId="10" fontId="0" fillId="0" borderId="0" xfId="1" applyNumberFormat="1" applyFont="1" applyBorder="1" applyAlignment="1" applyProtection="1">
      <alignment horizontal="center"/>
    </xf>
    <xf numFmtId="9" fontId="0" fillId="12" borderId="0" xfId="1" applyNumberFormat="1" applyFont="1" applyFill="1" applyBorder="1" applyAlignment="1" applyProtection="1">
      <alignment horizontal="center"/>
    </xf>
    <xf numFmtId="10" fontId="23" fillId="4" borderId="8" xfId="1" applyNumberFormat="1" applyFont="1" applyFill="1" applyBorder="1" applyAlignment="1" applyProtection="1">
      <alignment horizontal="center" vertical="top"/>
    </xf>
    <xf numFmtId="165" fontId="4" fillId="0" borderId="0" xfId="2" applyNumberFormat="1" applyFont="1" applyBorder="1" applyAlignment="1" applyProtection="1">
      <alignment horizontal="center"/>
    </xf>
    <xf numFmtId="43" fontId="3" fillId="0" borderId="0" xfId="2" applyNumberFormat="1" applyFont="1" applyFill="1" applyBorder="1" applyAlignment="1" applyProtection="1">
      <alignment horizontal="center" vertical="center"/>
    </xf>
    <xf numFmtId="0" fontId="12" fillId="7" borderId="0" xfId="2" applyNumberFormat="1" applyFont="1" applyFill="1" applyBorder="1" applyAlignment="1" applyProtection="1">
      <alignment horizontal="center" vertical="center"/>
    </xf>
    <xf numFmtId="165" fontId="26" fillId="0" borderId="0" xfId="2" applyNumberFormat="1" applyFont="1" applyFill="1" applyBorder="1" applyAlignment="1" applyProtection="1">
      <alignment horizontal="center" vertical="center"/>
    </xf>
    <xf numFmtId="165" fontId="17" fillId="7" borderId="0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center"/>
    </xf>
    <xf numFmtId="3" fontId="17" fillId="7" borderId="7" xfId="0" applyNumberFormat="1" applyFont="1" applyFill="1" applyBorder="1" applyAlignment="1" applyProtection="1">
      <alignment horizontal="center" vertical="center"/>
    </xf>
    <xf numFmtId="3" fontId="17" fillId="7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9" fillId="0" borderId="0" xfId="0" applyNumberFormat="1" applyFont="1" applyAlignment="1" applyProtection="1">
      <alignment horizontal="center" vertical="center"/>
    </xf>
    <xf numFmtId="168" fontId="5" fillId="0" borderId="0" xfId="2" applyNumberFormat="1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43" fontId="5" fillId="0" borderId="0" xfId="2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vertical="center"/>
    </xf>
    <xf numFmtId="0" fontId="30" fillId="0" borderId="0" xfId="0" applyFont="1" applyProtection="1"/>
    <xf numFmtId="0" fontId="14" fillId="0" borderId="0" xfId="0" applyFont="1" applyProtection="1"/>
    <xf numFmtId="3" fontId="0" fillId="0" borderId="0" xfId="0" applyNumberFormat="1" applyProtection="1"/>
    <xf numFmtId="3" fontId="0" fillId="0" borderId="0" xfId="0" applyNumberFormat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left" vertical="center" wrapText="1"/>
    </xf>
    <xf numFmtId="164" fontId="0" fillId="0" borderId="0" xfId="0" applyNumberFormat="1" applyProtection="1"/>
    <xf numFmtId="0" fontId="25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/>
    </xf>
    <xf numFmtId="9" fontId="0" fillId="0" borderId="0" xfId="1" applyFont="1" applyProtection="1"/>
    <xf numFmtId="3" fontId="4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2" fillId="9" borderId="0" xfId="0" applyFont="1" applyFill="1" applyBorder="1" applyAlignment="1" applyProtection="1">
      <alignment horizontal="left"/>
    </xf>
    <xf numFmtId="0" fontId="20" fillId="0" borderId="0" xfId="0" applyFont="1" applyProtection="1"/>
    <xf numFmtId="3" fontId="0" fillId="0" borderId="0" xfId="0" applyNumberFormat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10" fontId="0" fillId="0" borderId="0" xfId="1" applyNumberFormat="1" applyFont="1" applyAlignment="1" applyProtection="1">
      <alignment horizontal="center" vertical="center"/>
    </xf>
    <xf numFmtId="43" fontId="0" fillId="0" borderId="0" xfId="2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3" fontId="29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 vertical="center"/>
    </xf>
    <xf numFmtId="165" fontId="4" fillId="0" borderId="0" xfId="2" applyNumberFormat="1" applyFont="1" applyBorder="1" applyAlignment="1" applyProtection="1"/>
    <xf numFmtId="165" fontId="4" fillId="0" borderId="0" xfId="2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9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0" fontId="0" fillId="12" borderId="0" xfId="1" applyNumberFormat="1" applyFont="1" applyFill="1" applyProtection="1"/>
    <xf numFmtId="10" fontId="0" fillId="0" borderId="0" xfId="0" applyNumberFormat="1" applyProtection="1"/>
    <xf numFmtId="0" fontId="4" fillId="5" borderId="0" xfId="0" applyFont="1" applyFill="1" applyBorder="1" applyProtection="1"/>
    <xf numFmtId="3" fontId="4" fillId="0" borderId="0" xfId="0" applyNumberFormat="1" applyFont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top"/>
    </xf>
    <xf numFmtId="3" fontId="8" fillId="0" borderId="0" xfId="0" applyNumberFormat="1" applyFont="1" applyBorder="1" applyAlignment="1" applyProtection="1">
      <alignment horizontal="center" vertical="top"/>
    </xf>
    <xf numFmtId="3" fontId="24" fillId="4" borderId="6" xfId="0" applyNumberFormat="1" applyFont="1" applyFill="1" applyBorder="1" applyAlignment="1" applyProtection="1">
      <alignment horizontal="center" vertical="top"/>
    </xf>
    <xf numFmtId="3" fontId="23" fillId="4" borderId="7" xfId="0" applyNumberFormat="1" applyFont="1" applyFill="1" applyBorder="1" applyAlignment="1" applyProtection="1">
      <alignment horizontal="center" vertical="top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center"/>
    </xf>
    <xf numFmtId="3" fontId="8" fillId="0" borderId="0" xfId="0" applyNumberFormat="1" applyFont="1" applyAlignment="1" applyProtection="1">
      <alignment horizontal="center" vertical="top"/>
    </xf>
    <xf numFmtId="4" fontId="8" fillId="0" borderId="0" xfId="0" applyNumberFormat="1" applyFont="1" applyAlignment="1" applyProtection="1">
      <alignment horizontal="center" vertical="top"/>
    </xf>
    <xf numFmtId="3" fontId="27" fillId="0" borderId="0" xfId="0" applyNumberFormat="1" applyFont="1" applyAlignment="1" applyProtection="1">
      <alignment horizontal="center" vertical="top"/>
    </xf>
    <xf numFmtId="0" fontId="25" fillId="0" borderId="0" xfId="0" applyFont="1" applyFill="1" applyBorder="1" applyAlignment="1" applyProtection="1">
      <alignment horizontal="left" vertical="center"/>
    </xf>
    <xf numFmtId="4" fontId="8" fillId="0" borderId="0" xfId="0" applyNumberFormat="1" applyFont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horizontal="center" vertical="top"/>
    </xf>
    <xf numFmtId="4" fontId="23" fillId="4" borderId="7" xfId="0" applyNumberFormat="1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left" vertical="center"/>
    </xf>
    <xf numFmtId="4" fontId="0" fillId="0" borderId="0" xfId="0" applyNumberFormat="1" applyProtection="1"/>
    <xf numFmtId="165" fontId="3" fillId="0" borderId="0" xfId="0" applyNumberFormat="1" applyFont="1" applyFill="1" applyBorder="1" applyAlignment="1" applyProtection="1">
      <alignment horizontal="center" vertical="center"/>
    </xf>
    <xf numFmtId="39" fontId="4" fillId="0" borderId="0" xfId="2" applyNumberFormat="1" applyFont="1" applyBorder="1" applyAlignment="1" applyProtection="1">
      <alignment horizontal="center" vertical="center"/>
    </xf>
    <xf numFmtId="43" fontId="4" fillId="0" borderId="0" xfId="2" applyFont="1" applyBorder="1" applyAlignment="1" applyProtection="1">
      <alignment horizontal="center" vertical="center"/>
    </xf>
    <xf numFmtId="10" fontId="2" fillId="9" borderId="0" xfId="1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43" fontId="4" fillId="0" borderId="0" xfId="2" applyFont="1" applyBorder="1" applyAlignment="1" applyProtection="1">
      <alignment horizont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3" fontId="26" fillId="0" borderId="0" xfId="2" applyNumberFormat="1" applyFont="1" applyBorder="1" applyAlignment="1" applyProtection="1"/>
    <xf numFmtId="3" fontId="4" fillId="0" borderId="0" xfId="2" applyNumberFormat="1" applyFont="1" applyBorder="1" applyAlignment="1" applyProtection="1"/>
    <xf numFmtId="0" fontId="26" fillId="0" borderId="0" xfId="0" applyFont="1" applyBorder="1" applyAlignment="1" applyProtection="1">
      <alignment horizontal="center"/>
    </xf>
    <xf numFmtId="0" fontId="9" fillId="5" borderId="0" xfId="0" applyFont="1" applyFill="1" applyBorder="1" applyAlignment="1" applyProtection="1"/>
    <xf numFmtId="4" fontId="0" fillId="0" borderId="0" xfId="2" applyNumberFormat="1" applyFont="1" applyBorder="1" applyAlignment="1" applyProtection="1">
      <alignment horizontal="center"/>
    </xf>
    <xf numFmtId="3" fontId="29" fillId="0" borderId="0" xfId="0" applyNumberFormat="1" applyFont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0" fontId="32" fillId="0" borderId="0" xfId="0" applyFont="1" applyProtection="1">
      <protection locked="0"/>
    </xf>
    <xf numFmtId="3" fontId="0" fillId="0" borderId="0" xfId="0" applyNumberFormat="1" applyAlignment="1">
      <alignment horizontal="center"/>
    </xf>
    <xf numFmtId="165" fontId="17" fillId="7" borderId="0" xfId="2" applyNumberFormat="1" applyFont="1" applyFill="1" applyBorder="1" applyAlignment="1" applyProtection="1">
      <alignment vertical="center"/>
    </xf>
    <xf numFmtId="3" fontId="29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Alignment="1" applyProtection="1">
      <alignment horizontal="center" vertical="center"/>
    </xf>
    <xf numFmtId="165" fontId="17" fillId="7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Protection="1"/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 wrapText="1"/>
    </xf>
    <xf numFmtId="0" fontId="30" fillId="0" borderId="0" xfId="0" applyFont="1" applyAlignment="1" applyProtection="1">
      <alignment horizontal="left"/>
    </xf>
    <xf numFmtId="0" fontId="3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11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11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 sz="800">
                <a:solidFill>
                  <a:schemeClr val="accent1"/>
                </a:solidFill>
              </a:rPr>
              <a:t>Programado vs Ejecutado</a:t>
            </a:r>
          </a:p>
        </c:rich>
      </c:tx>
      <c:layout>
        <c:manualLayout>
          <c:xMode val="edge"/>
          <c:yMode val="edge"/>
          <c:x val="0.37079371203792127"/>
          <c:y val="8.17609900934006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15130463804834"/>
          <c:y val="5.1400554097404488E-2"/>
          <c:w val="0.74836611939844222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6F-49E2-B71B-8A084CE8A512}"/>
              </c:ext>
            </c:extLst>
          </c:dPt>
          <c:dLbls>
            <c:dLbl>
              <c:idx val="0"/>
              <c:layout>
                <c:manualLayout>
                  <c:x val="3.7480411352754229E-3"/>
                  <c:y val="0.282517697713524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6F-49E2-B71B-8A084CE8A512}"/>
                </c:ext>
              </c:extLst>
            </c:dLbl>
            <c:dLbl>
              <c:idx val="1"/>
              <c:layout>
                <c:manualLayout>
                  <c:x val="8.6249237395806949E-3"/>
                  <c:y val="0.20552073381454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F-49E2-B71B-8A084CE8A512}"/>
                </c:ext>
              </c:extLst>
            </c:dLbl>
            <c:dLbl>
              <c:idx val="2"/>
              <c:layout>
                <c:manualLayout>
                  <c:x val="-1.049188905010401E-3"/>
                  <c:y val="0.254861559973939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Adm.'!$A$9:$A$11</c15:sqref>
                  </c15:fullRef>
                </c:ext>
              </c:extLst>
              <c:f>'Presupuesto Adm.'!$A$9:$A$11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Adm.'!$B$9:$B$11</c15:sqref>
                  </c15:fullRef>
                </c:ext>
              </c:extLst>
              <c:f>'Presupuesto Adm.'!$B$9:$B$11</c:f>
              <c:numCache>
                <c:formatCode>#,##0</c:formatCode>
                <c:ptCount val="3"/>
                <c:pt idx="0">
                  <c:v>32475147.75</c:v>
                </c:pt>
                <c:pt idx="1">
                  <c:v>34760918.649999999</c:v>
                </c:pt>
                <c:pt idx="2">
                  <c:v>32475147.760000002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F-49E2-B71B-8A084CE8A512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002174133629172E-3"/>
                  <c:y val="0.29654002940820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6F-49E2-B71B-8A084CE8A512}"/>
                </c:ext>
              </c:extLst>
            </c:dLbl>
            <c:dLbl>
              <c:idx val="1"/>
              <c:layout>
                <c:manualLayout>
                  <c:x val="7.0277250115702104E-3"/>
                  <c:y val="0.278022452726696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6F-49E2-B71B-8A084CE8A512}"/>
                </c:ext>
              </c:extLst>
            </c:dLbl>
            <c:dLbl>
              <c:idx val="2"/>
              <c:layout>
                <c:manualLayout>
                  <c:x val="4.7969775279138628E-3"/>
                  <c:y val="0.40636048999940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Adm.'!$A$9:$A$11</c15:sqref>
                  </c15:fullRef>
                </c:ext>
              </c:extLst>
              <c:f>'Presupuesto Adm.'!$A$9:$A$11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Adm.'!$C$9:$C$11</c15:sqref>
                  </c15:fullRef>
                </c:ext>
              </c:extLst>
              <c:f>'Presupuesto Adm.'!$C$9:$C$11</c:f>
              <c:numCache>
                <c:formatCode>#,##0</c:formatCode>
                <c:ptCount val="3"/>
                <c:pt idx="0">
                  <c:v>33948877.780000001</c:v>
                </c:pt>
                <c:pt idx="1">
                  <c:v>31766271.809999999</c:v>
                </c:pt>
                <c:pt idx="2">
                  <c:v>28841783.899999999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64528"/>
        <c:axId val="1578266160"/>
      </c:barChart>
      <c:lineChart>
        <c:grouping val="standard"/>
        <c:varyColors val="0"/>
        <c:ser>
          <c:idx val="2"/>
          <c:order val="2"/>
          <c:tx>
            <c:strRef>
              <c:f>'Presupuesto Adm.'!$D$8</c:f>
              <c:strCache>
                <c:ptCount val="1"/>
                <c:pt idx="0">
                  <c:v>Relativo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1.0868137732580045E-2"/>
                  <c:y val="2.3076878507031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3-488F-AC0F-83F78A7882F5}"/>
                </c:ext>
              </c:extLst>
            </c:dLbl>
            <c:dLbl>
              <c:idx val="1"/>
              <c:layout>
                <c:manualLayout>
                  <c:x val="-0.10271516192513055"/>
                  <c:y val="2.8616346532690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B-4D30-8D34-CD287BDB4B79}"/>
                </c:ext>
              </c:extLst>
            </c:dLbl>
            <c:dLbl>
              <c:idx val="2"/>
              <c:layout>
                <c:manualLayout>
                  <c:x val="-1.605473189101295E-2"/>
                  <c:y val="-0.192138326719491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2-4A65-B098-370A8A17C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'Presupuesto Adm.'!$A$19:$A$24</c15:sqref>
                  </c15:fullRef>
                </c:ext>
              </c:extLst>
              <c:f>'Presupuesto Adm.'!$A$19:$A$21</c:f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Adm.'!$D$9:$D$11</c15:sqref>
                  </c15:fullRef>
                </c:ext>
              </c:extLst>
              <c:f>'Presupuesto Adm.'!$D$9:$D$11</c:f>
              <c:numCache>
                <c:formatCode>0%</c:formatCode>
                <c:ptCount val="3"/>
                <c:pt idx="0">
                  <c:v>1.0453802409567174</c:v>
                </c:pt>
                <c:pt idx="1">
                  <c:v>0.91385018128685158</c:v>
                </c:pt>
                <c:pt idx="2">
                  <c:v>0.88811863499893728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70512"/>
        <c:axId val="1578269424"/>
      </c:lineChart>
      <c:catAx>
        <c:axId val="157826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6160"/>
        <c:crosses val="autoZero"/>
        <c:auto val="1"/>
        <c:lblAlgn val="ctr"/>
        <c:lblOffset val="100"/>
        <c:noMultiLvlLbl val="0"/>
      </c:catAx>
      <c:valAx>
        <c:axId val="1578266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64528"/>
        <c:crosses val="autoZero"/>
        <c:crossBetween val="between"/>
      </c:valAx>
      <c:valAx>
        <c:axId val="15782694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70512"/>
        <c:crosses val="max"/>
        <c:crossBetween val="between"/>
      </c:valAx>
      <c:catAx>
        <c:axId val="157827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694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Distribución de</a:t>
            </a:r>
            <a:r>
              <a:rPr lang="es-ES" sz="800" baseline="0">
                <a:solidFill>
                  <a:schemeClr val="accent1">
                    <a:lumMod val="75000"/>
                  </a:schemeClr>
                </a:solidFill>
              </a:rPr>
              <a:t> Aportes</a:t>
            </a:r>
            <a:endParaRPr lang="es-ES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509152799625716"/>
          <c:y val="1.44177444971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C4-4E72-86CD-26E882354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C4-4E72-86CD-26E8823546DB}"/>
              </c:ext>
            </c:extLst>
          </c:dPt>
          <c:dLbls>
            <c:dLbl>
              <c:idx val="0"/>
              <c:layout>
                <c:manualLayout>
                  <c:x val="8.5802112329476778E-4"/>
                  <c:y val="0.24998414710784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C4-4E72-86CD-26E8823546DB}"/>
                </c:ext>
              </c:extLst>
            </c:dLbl>
            <c:dLbl>
              <c:idx val="1"/>
              <c:layout>
                <c:manualLayout>
                  <c:x val="0"/>
                  <c:y val="0.27220006218706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4-4E72-86CD-26E8823546DB}"/>
                </c:ext>
              </c:extLst>
            </c:dLbl>
            <c:dLbl>
              <c:idx val="2"/>
              <c:layout>
                <c:manualLayout>
                  <c:x val="2.7776179306659193E-3"/>
                  <c:y val="0.2370197612313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4-4E72-86CD-26E882354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Aportes!$A$8:$A$10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Aportes!$B$8:$B$10</c:f>
              <c:numCache>
                <c:formatCode>#,##0</c:formatCode>
                <c:ptCount val="3"/>
                <c:pt idx="0">
                  <c:v>33346</c:v>
                </c:pt>
                <c:pt idx="1">
                  <c:v>41140</c:v>
                </c:pt>
                <c:pt idx="2">
                  <c:v>35157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C4-4E72-86CD-26E882354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65120"/>
        <c:axId val="1667765664"/>
      </c:barChart>
      <c:catAx>
        <c:axId val="1667765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5664"/>
        <c:crosses val="autoZero"/>
        <c:auto val="1"/>
        <c:lblAlgn val="ctr"/>
        <c:lblOffset val="100"/>
        <c:noMultiLvlLbl val="0"/>
      </c:catAx>
      <c:valAx>
        <c:axId val="16677656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6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Cantidad de Traspasos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16285132106767"/>
          <c:y val="0.18401209406649208"/>
          <c:w val="0.83717921431840892"/>
          <c:h val="0.6161002451489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Traspaso!$C$7</c:f>
              <c:strCache>
                <c:ptCount val="1"/>
                <c:pt idx="0">
                  <c:v>Cedidos (Reparto a SCI)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8049937696971745E-3"/>
                  <c:y val="0.17582847052568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88-462E-AA9F-C0D0A8F76EA1}"/>
                </c:ext>
              </c:extLst>
            </c:dLbl>
            <c:dLbl>
              <c:idx val="1"/>
              <c:layout>
                <c:manualLayout>
                  <c:x val="3.9509017985037091E-3"/>
                  <c:y val="0.17537080226832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1B-4846-AF71-C6243F490D5B}"/>
                </c:ext>
              </c:extLst>
            </c:dLbl>
            <c:dLbl>
              <c:idx val="2"/>
              <c:layout>
                <c:manualLayout>
                  <c:x val="-1.395148265350496E-16"/>
                  <c:y val="9.5449741142517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88-462E-AA9F-C0D0A8F76E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Traspaso!$C$8:$C$10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B-4846-AF71-C6243F49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575250304"/>
        <c:axId val="579739216"/>
      </c:barChart>
      <c:lineChart>
        <c:grouping val="standard"/>
        <c:varyColors val="0"/>
        <c:ser>
          <c:idx val="0"/>
          <c:order val="0"/>
          <c:tx>
            <c:strRef>
              <c:f>Traspaso!$B$7</c:f>
              <c:strCache>
                <c:ptCount val="1"/>
                <c:pt idx="0">
                  <c:v>Recibidos (SCI a Reparto)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7.2074725598068531E-2"/>
                  <c:y val="-3.0695813977038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B-4846-AF71-C6243F490D5B}"/>
                </c:ext>
              </c:extLst>
            </c:dLbl>
            <c:dLbl>
              <c:idx val="1"/>
              <c:layout>
                <c:manualLayout>
                  <c:x val="-5.3166962802861872E-2"/>
                  <c:y val="-6.0284047037379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88-462E-AA9F-C0D0A8F76EA1}"/>
                </c:ext>
              </c:extLst>
            </c:dLbl>
            <c:dLbl>
              <c:idx val="2"/>
              <c:layout>
                <c:manualLayout>
                  <c:x val="-9.2163345176787634E-2"/>
                  <c:y val="-1.34068714320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B-4846-AF71-C6243F49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Traspaso!$B$8:$B$10</c:f>
              <c:numCache>
                <c:formatCode>General</c:formatCode>
                <c:ptCount val="3"/>
                <c:pt idx="0">
                  <c:v>1</c:v>
                </c:pt>
                <c:pt idx="1">
                  <c:v>209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B-4846-AF71-C6243F49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019632"/>
        <c:axId val="1665020176"/>
      </c:lineChart>
      <c:catAx>
        <c:axId val="166501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0176"/>
        <c:crosses val="autoZero"/>
        <c:auto val="1"/>
        <c:lblAlgn val="ctr"/>
        <c:lblOffset val="100"/>
        <c:noMultiLvlLbl val="0"/>
      </c:catAx>
      <c:valAx>
        <c:axId val="166502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5019632"/>
        <c:crosses val="autoZero"/>
        <c:crossBetween val="between"/>
      </c:valAx>
      <c:valAx>
        <c:axId val="579739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75250304"/>
        <c:crosses val="max"/>
        <c:crossBetween val="between"/>
      </c:valAx>
      <c:catAx>
        <c:axId val="57525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97392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4724919093851127E-2"/>
          <c:y val="0.9094906006998229"/>
          <c:w val="0.87594016767321559"/>
          <c:h val="8.4775034493234272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/>
                </a:solidFill>
              </a:rPr>
              <a:t>Programado</a:t>
            </a:r>
            <a:r>
              <a:rPr lang="es-ES" sz="800" baseline="0">
                <a:solidFill>
                  <a:schemeClr val="accent1"/>
                </a:solidFill>
              </a:rPr>
              <a:t> vs Ejecutado</a:t>
            </a:r>
            <a:endParaRPr lang="es-ES" sz="800">
              <a:solidFill>
                <a:schemeClr val="accent1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6926902947940974E-3"/>
                  <c:y val="0.256070022414628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C-42CC-B337-D1674F2E4349}"/>
                </c:ext>
              </c:extLst>
            </c:dLbl>
            <c:dLbl>
              <c:idx val="1"/>
              <c:layout>
                <c:manualLayout>
                  <c:x val="2.9317585865322399E-3"/>
                  <c:y val="0.41599362629465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C-42CC-B337-D1674F2E4349}"/>
                </c:ext>
              </c:extLst>
            </c:dLbl>
            <c:dLbl>
              <c:idx val="2"/>
              <c:layout>
                <c:manualLayout>
                  <c:x val="1.2342668386827612E-3"/>
                  <c:y val="0.384525880249539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C-42CC-B337-D1674F2E4349}"/>
                </c:ext>
              </c:extLst>
            </c:dLbl>
            <c:dLbl>
              <c:idx val="3"/>
              <c:layout>
                <c:manualLayout>
                  <c:x val="2.9317585865322399E-3"/>
                  <c:y val="0.30052233598144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Pensiones'!$A$10:$A$12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de Pensiones'!$B$10:$B$12</c:f>
              <c:numCache>
                <c:formatCode>#,##0</c:formatCode>
                <c:ptCount val="3"/>
                <c:pt idx="0">
                  <c:v>2204867529.0599999</c:v>
                </c:pt>
                <c:pt idx="1">
                  <c:v>2182641302.5</c:v>
                </c:pt>
                <c:pt idx="2">
                  <c:v>2175941287.6900001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1-44D8-A584-F0F60B69051B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8045393370854906E-3"/>
                  <c:y val="0.41465365063238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C-42CC-B337-D1674F2E4349}"/>
                </c:ext>
              </c:extLst>
            </c:dLbl>
            <c:dLbl>
              <c:idx val="1"/>
              <c:layout>
                <c:manualLayout>
                  <c:x val="3.0656580137181995E-3"/>
                  <c:y val="0.24120585419879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C-42CC-B337-D1674F2E4349}"/>
                </c:ext>
              </c:extLst>
            </c:dLbl>
            <c:dLbl>
              <c:idx val="2"/>
              <c:layout>
                <c:manualLayout>
                  <c:x val="2.9449168731017152E-3"/>
                  <c:y val="0.23317596587331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C-42CC-B337-D1674F2E4349}"/>
                </c:ext>
              </c:extLst>
            </c:dLbl>
            <c:dLbl>
              <c:idx val="3"/>
              <c:layout>
                <c:manualLayout>
                  <c:x val="5.8635171730644798E-3"/>
                  <c:y val="0.22360624759032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Pensiones'!$A$10:$A$12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de Pensiones'!$E$10:$E$12</c:f>
              <c:numCache>
                <c:formatCode>#,##0</c:formatCode>
                <c:ptCount val="3"/>
                <c:pt idx="0">
                  <c:v>2179363075</c:v>
                </c:pt>
                <c:pt idx="1">
                  <c:v>2186923762</c:v>
                </c:pt>
                <c:pt idx="2">
                  <c:v>2155333333.6900001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1264"/>
        <c:axId val="1665032144"/>
      </c:barChart>
      <c:lineChart>
        <c:grouping val="standard"/>
        <c:varyColors val="0"/>
        <c:ser>
          <c:idx val="2"/>
          <c:order val="2"/>
          <c:tx>
            <c:v>% Ejecutado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1C01-44D8-A584-F0F60B6905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1C01-44D8-A584-F0F60B69051B}"/>
              </c:ext>
            </c:extLst>
          </c:dPt>
          <c:dLbls>
            <c:dLbl>
              <c:idx val="0"/>
              <c:layout>
                <c:manualLayout>
                  <c:x val="-8.0502394062954924E-2"/>
                  <c:y val="-2.5651039632574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9C-42CC-B337-D1674F2E4349}"/>
                </c:ext>
              </c:extLst>
            </c:dLbl>
            <c:dLbl>
              <c:idx val="1"/>
              <c:layout>
                <c:manualLayout>
                  <c:x val="7.177375412679393E-3"/>
                  <c:y val="-6.605878008615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1-44D8-A584-F0F60B69051B}"/>
                </c:ext>
              </c:extLst>
            </c:dLbl>
            <c:dLbl>
              <c:idx val="2"/>
              <c:layout>
                <c:manualLayout>
                  <c:x val="-8.8826470171662508E-2"/>
                  <c:y val="-1.8333291136444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01-44D8-A584-F0F60B69051B}"/>
                </c:ext>
              </c:extLst>
            </c:dLbl>
            <c:dLbl>
              <c:idx val="3"/>
              <c:layout>
                <c:manualLayout>
                  <c:x val="-2.0522310105725677E-2"/>
                  <c:y val="-5.130962083671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9-4B6E-B63A-43C37AF34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Pensiones'!$A$10:$A$12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de Pensiones'!$F$10:$F$12</c:f>
              <c:numCache>
                <c:formatCode>0%</c:formatCode>
                <c:ptCount val="3"/>
                <c:pt idx="0">
                  <c:v>0.98796611826073588</c:v>
                </c:pt>
                <c:pt idx="1">
                  <c:v>1.0017087822405448</c:v>
                </c:pt>
                <c:pt idx="2">
                  <c:v>0.98973186364038623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5032688"/>
        <c:axId val="1665026160"/>
      </c:lineChart>
      <c:catAx>
        <c:axId val="166502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2144"/>
        <c:crosses val="autoZero"/>
        <c:auto val="1"/>
        <c:lblAlgn val="ctr"/>
        <c:lblOffset val="100"/>
        <c:noMultiLvlLbl val="0"/>
      </c:catAx>
      <c:valAx>
        <c:axId val="16650321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1264"/>
        <c:crosses val="autoZero"/>
        <c:crossBetween val="between"/>
      </c:valAx>
      <c:valAx>
        <c:axId val="1665026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5032688"/>
        <c:crosses val="max"/>
        <c:crossBetween val="between"/>
      </c:valAx>
      <c:catAx>
        <c:axId val="166503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0261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% Monto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4,835,209,400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3E-45F1-A77D-4A3BE75DB07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1"/>
                        </a:solidFill>
                      </a:rPr>
                      <a:t>Civiles
79%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F3E-45F1-A77D-4A3BE75DB0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1"/>
                        </a:solidFill>
                      </a:rPr>
                      <a:t>PN
21%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F3E-45F1-A77D-4A3BE75DB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(Nómina!$D$26,Nómina!$J$26)</c:f>
            </c:numRef>
          </c:val>
          <c:extLst>
            <c:ext xmlns:c16="http://schemas.microsoft.com/office/drawing/2014/chart" uri="{C3380CC4-5D6E-409C-BE32-E72D297353CC}">
              <c16:uniqueId val="{00000003-7F3E-45F1-A77D-4A3BE75DB0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71526098266"/>
          <c:y val="0.13154844993940878"/>
          <c:w val="0.82866557875303415"/>
          <c:h val="0.69190263993496037"/>
        </c:manualLayout>
      </c:layout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6166165550448378E-3"/>
                  <c:y val="0.28028695984068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9-494F-9FD7-D7A98F07ECC5}"/>
                </c:ext>
              </c:extLst>
            </c:dLbl>
            <c:dLbl>
              <c:idx val="1"/>
              <c:layout>
                <c:manualLayout>
                  <c:x val="-1.9338092923303063E-4"/>
                  <c:y val="0.2811533092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9-494F-9FD7-D7A98F07ECC5}"/>
                </c:ext>
              </c:extLst>
            </c:dLbl>
            <c:dLbl>
              <c:idx val="2"/>
              <c:layout>
                <c:manualLayout>
                  <c:x val="8.2366115236005497E-3"/>
                  <c:y val="0.2794206104604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Nómina!$B$8:$B$10</c:f>
              <c:numCache>
                <c:formatCode>_(* #,##0_);_(* \(#,##0\);_(* "-"??_);_(@_)</c:formatCode>
                <c:ptCount val="3"/>
                <c:pt idx="0">
                  <c:v>116393</c:v>
                </c:pt>
                <c:pt idx="1">
                  <c:v>116396</c:v>
                </c:pt>
                <c:pt idx="2">
                  <c:v>116286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9-494F-9FD7-D7A98F07ECC5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9-494F-9FD7-D7A98F07ECC5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9-494F-9FD7-D7A98F07ECC5}"/>
                </c:ext>
              </c:extLst>
            </c:dLbl>
            <c:dLbl>
              <c:idx val="2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Nómina!$E$8:$E$10</c:f>
              <c:numCache>
                <c:formatCode>_(* #,##0_);_(* \(#,##0\);_(* "-"??_);_(@_)</c:formatCode>
                <c:ptCount val="3"/>
                <c:pt idx="0">
                  <c:v>9773</c:v>
                </c:pt>
                <c:pt idx="1">
                  <c:v>9768</c:v>
                </c:pt>
                <c:pt idx="2">
                  <c:v>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D9-494F-9FD7-D7A98F07ECC5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Nómina!$H$8:$H$10</c:f>
              <c:numCache>
                <c:formatCode>_(* #,##0_);_(* \(#,##0\);_(* "-"??_);_(@_)</c:formatCode>
                <c:ptCount val="3"/>
                <c:pt idx="0">
                  <c:v>21364</c:v>
                </c:pt>
                <c:pt idx="1">
                  <c:v>21357</c:v>
                </c:pt>
                <c:pt idx="2">
                  <c:v>21052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F-40C1-B7CC-955B6C378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33232"/>
        <c:axId val="1665027248"/>
      </c:barChart>
      <c:catAx>
        <c:axId val="166503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7248"/>
        <c:crosses val="autoZero"/>
        <c:auto val="1"/>
        <c:lblAlgn val="ctr"/>
        <c:lblOffset val="100"/>
        <c:noMultiLvlLbl val="0"/>
      </c:catAx>
      <c:valAx>
        <c:axId val="16650272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3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5770283434614"/>
          <c:y val="0.93137511312911292"/>
          <c:w val="0.22633816425502665"/>
          <c:h val="6.5109557839156396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8258793274707537E-3"/>
                  <c:y val="0.1828711595114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BD-4A0D-BE09-D21C77B6043E}"/>
                </c:ext>
              </c:extLst>
            </c:dLbl>
            <c:dLbl>
              <c:idx val="1"/>
              <c:layout>
                <c:manualLayout>
                  <c:x val="1.8258793274707537E-3"/>
                  <c:y val="0.18862088526761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0.17824149844191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Nómina!$C$8:$C$10</c:f>
              <c:numCache>
                <c:formatCode>_(* #,##0_);_(* \(#,##0\);_(* "-"??_);_(@_)</c:formatCode>
                <c:ptCount val="3"/>
                <c:pt idx="0">
                  <c:v>128838</c:v>
                </c:pt>
                <c:pt idx="1">
                  <c:v>128896</c:v>
                </c:pt>
                <c:pt idx="2">
                  <c:v>128792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A0D-BE09-D21C77B6043E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BD-4A0D-BE09-D21C77B6043E}"/>
                </c:ext>
              </c:extLst>
            </c:dLbl>
            <c:dLbl>
              <c:idx val="1"/>
              <c:layout>
                <c:manualLayout>
                  <c:x val="1.30405795883616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1.724917726857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Nómina!$F$8:$F$10</c:f>
              <c:numCache>
                <c:formatCode>_(* #,##0_);_(* \(#,##0\);_(* "-"??_);_(@_)</c:formatCode>
                <c:ptCount val="3"/>
                <c:pt idx="0">
                  <c:v>9773</c:v>
                </c:pt>
                <c:pt idx="1">
                  <c:v>9768</c:v>
                </c:pt>
                <c:pt idx="2">
                  <c:v>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BD-4A0D-BE09-D21C77B6043E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143564425193773E-17"/>
                  <c:y val="5.749725756190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7-42AB-9E5A-58FEC411AE86}"/>
                </c:ext>
              </c:extLst>
            </c:dLbl>
            <c:dLbl>
              <c:idx val="1"/>
              <c:layout>
                <c:manualLayout>
                  <c:x val="0"/>
                  <c:y val="5.74972575619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7-42AB-9E5A-58FEC411AE86}"/>
                </c:ext>
              </c:extLst>
            </c:dLbl>
            <c:dLbl>
              <c:idx val="2"/>
              <c:layout>
                <c:manualLayout>
                  <c:x val="2.5169507716138687E-3"/>
                  <c:y val="1.724917726857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7-42AB-9E5A-58FEC411AE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Nómina!$I$8:$I$10</c:f>
              <c:numCache>
                <c:formatCode>_(* #,##0_);_(* \(#,##0\);_(* "-"??_);_(@_)</c:formatCode>
                <c:ptCount val="3"/>
                <c:pt idx="0">
                  <c:v>21426</c:v>
                </c:pt>
                <c:pt idx="1">
                  <c:v>21418</c:v>
                </c:pt>
                <c:pt idx="2">
                  <c:v>21108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7-4C8F-829E-12F6B5EA66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8880"/>
        <c:axId val="1665018544"/>
      </c:barChart>
      <c:catAx>
        <c:axId val="166502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18544"/>
        <c:crosses val="autoZero"/>
        <c:auto val="1"/>
        <c:lblAlgn val="ctr"/>
        <c:lblOffset val="100"/>
        <c:noMultiLvlLbl val="0"/>
      </c:catAx>
      <c:valAx>
        <c:axId val="16650185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8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4.9402791952599815E-3"/>
                  <c:y val="0.19285649645148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AB-4ACC-9DB2-E039C3656B7D}"/>
                </c:ext>
              </c:extLst>
            </c:dLbl>
            <c:dLbl>
              <c:idx val="1"/>
              <c:layout>
                <c:manualLayout>
                  <c:x val="-5.5544341463445307E-3"/>
                  <c:y val="0.2151374158988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B-4ACC-9DB2-E039C3656B7D}"/>
                </c:ext>
              </c:extLst>
            </c:dLbl>
            <c:dLbl>
              <c:idx val="2"/>
              <c:layout>
                <c:manualLayout>
                  <c:x val="-2.8154707518661961E-3"/>
                  <c:y val="0.2372395171648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B-4ACC-9DB2-E039C365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Nómina!$D$8:$D$10</c:f>
              <c:numCache>
                <c:formatCode>_(* #,##0_);_(* \(#,##0\);_(* "-"??_);_(@_)</c:formatCode>
                <c:ptCount val="3"/>
                <c:pt idx="0">
                  <c:v>1627982994.29</c:v>
                </c:pt>
                <c:pt idx="1">
                  <c:v>1623226524.2</c:v>
                </c:pt>
                <c:pt idx="2">
                  <c:v>1618889063.7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3-4019-BFDC-2A350F855EE7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888958688751932E-3"/>
                  <c:y val="1.7881818150175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5C-498E-B306-189846393CDE}"/>
                </c:ext>
              </c:extLst>
            </c:dLbl>
            <c:dLbl>
              <c:idx val="1"/>
              <c:layout>
                <c:manualLayout>
                  <c:x val="9.1129695062634377E-3"/>
                  <c:y val="1.657657594943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C-498E-B306-189846393CDE}"/>
                </c:ext>
              </c:extLst>
            </c:dLbl>
            <c:dLbl>
              <c:idx val="2"/>
              <c:layout>
                <c:manualLayout>
                  <c:x val="6.2974987543972412E-3"/>
                  <c:y val="5.525525316477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Nómina!$G$8:$G$10</c:f>
              <c:numCache>
                <c:formatCode>_(* #,##0_);_(* \(#,##0\);_(* "-"??_);_(@_)</c:formatCode>
                <c:ptCount val="3"/>
                <c:pt idx="0">
                  <c:v>58638000</c:v>
                </c:pt>
                <c:pt idx="1">
                  <c:v>58608000</c:v>
                </c:pt>
                <c:pt idx="2">
                  <c:v>58590000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3-4019-BFDC-2A350F855EE7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2952385384117803E-3"/>
                  <c:y val="-2.53250318102610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C-498E-B306-189846393CDE}"/>
                </c:ext>
              </c:extLst>
            </c:dLbl>
            <c:dLbl>
              <c:idx val="1"/>
              <c:layout>
                <c:manualLayout>
                  <c:x val="4.6332017197177064E-3"/>
                  <c:y val="5.5255253164777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C-498E-B306-189846393CDE}"/>
                </c:ext>
              </c:extLst>
            </c:dLbl>
            <c:dLbl>
              <c:idx val="2"/>
              <c:layout>
                <c:manualLayout>
                  <c:x val="7.4488820807821271E-3"/>
                  <c:y val="5.525525316477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Nómina!$J$8:$J$10</c:f>
              <c:numCache>
                <c:formatCode>_(* #,##0_);_(* \(#,##0\);_(* "-"??_);_(@_)</c:formatCode>
                <c:ptCount val="3"/>
                <c:pt idx="0">
                  <c:v>467547728.50999999</c:v>
                </c:pt>
                <c:pt idx="1">
                  <c:v>467248363.23000002</c:v>
                </c:pt>
                <c:pt idx="2">
                  <c:v>451075457.5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D-447F-87D6-9DFFE7E60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3984"/>
        <c:axId val="1665028336"/>
      </c:barChart>
      <c:catAx>
        <c:axId val="166502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8336"/>
        <c:crosses val="autoZero"/>
        <c:auto val="1"/>
        <c:lblAlgn val="ctr"/>
        <c:lblOffset val="100"/>
        <c:noMultiLvlLbl val="0"/>
      </c:catAx>
      <c:valAx>
        <c:axId val="166502833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Pensiones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4868485851887606E-3"/>
                  <c:y val="0.208286459483824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F-409D-B8DA-00FECF4961CB}"/>
                </c:ext>
              </c:extLst>
            </c:dLbl>
            <c:dLbl>
              <c:idx val="1"/>
              <c:layout>
                <c:manualLayout>
                  <c:x val="-2.4868485851888061E-3"/>
                  <c:y val="0.227813315060433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F-409D-B8DA-00FECF4961CB}"/>
                </c:ext>
              </c:extLst>
            </c:dLbl>
            <c:dLbl>
              <c:idx val="2"/>
              <c:layout>
                <c:manualLayout>
                  <c:x val="0"/>
                  <c:y val="0.234322266919302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Movimientos!$B$9:$B$11</c:f>
              <c:numCache>
                <c:formatCode>#,##0</c:formatCode>
                <c:ptCount val="3"/>
                <c:pt idx="0">
                  <c:v>644</c:v>
                </c:pt>
                <c:pt idx="1">
                  <c:v>1124</c:v>
                </c:pt>
                <c:pt idx="2">
                  <c:v>1813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033-860E-FF0E9A955014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8365164169763754E-6"/>
                  <c:y val="0.163957190917244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F-409D-B8DA-00FECF4961CB}"/>
                </c:ext>
              </c:extLst>
            </c:dLbl>
            <c:dLbl>
              <c:idx val="1"/>
              <c:layout>
                <c:manualLayout>
                  <c:x val="4.6290120230386292E-3"/>
                  <c:y val="0.173548730430554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8F-409D-B8DA-00FECF4961CB}"/>
                </c:ext>
              </c:extLst>
            </c:dLbl>
            <c:dLbl>
              <c:idx val="2"/>
              <c:layout>
                <c:manualLayout>
                  <c:x val="2.3222581125892905E-3"/>
                  <c:y val="0.149019851651968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Movimientos!$D$9:$D$11</c:f>
              <c:numCache>
                <c:formatCode>#,##0</c:formatCode>
                <c:ptCount val="3"/>
                <c:pt idx="0">
                  <c:v>9</c:v>
                </c:pt>
                <c:pt idx="1">
                  <c:v>14</c:v>
                </c:pt>
                <c:pt idx="2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2-4033-860E-FF0E9A955014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182250652048346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F-409D-B8DA-00FECF4961CB}"/>
                </c:ext>
              </c:extLst>
            </c:dLbl>
            <c:dLbl>
              <c:idx val="1"/>
              <c:layout>
                <c:manualLayout>
                  <c:x val="0"/>
                  <c:y val="0.201777507624955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8F-409D-B8DA-00FECF4961CB}"/>
                </c:ext>
              </c:extLst>
            </c:dLbl>
            <c:dLbl>
              <c:idx val="2"/>
              <c:layout>
                <c:manualLayout>
                  <c:x val="0"/>
                  <c:y val="0.188759603907216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Movimientos!$F$9:$F$11</c:f>
              <c:numCache>
                <c:formatCode>#,##0</c:formatCode>
                <c:ptCount val="3"/>
                <c:pt idx="0">
                  <c:v>363</c:v>
                </c:pt>
                <c:pt idx="1">
                  <c:v>523</c:v>
                </c:pt>
                <c:pt idx="2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2-4033-860E-FF0E9A955014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244600264367010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8F-409D-B8DA-00FECF4961CB}"/>
                </c:ext>
              </c:extLst>
            </c:dLbl>
            <c:dLbl>
              <c:idx val="1"/>
              <c:layout>
                <c:manualLayout>
                  <c:x val="2.4868485851887606E-3"/>
                  <c:y val="0.175741700189477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8F-409D-B8DA-00FECF4961CB}"/>
                </c:ext>
              </c:extLst>
            </c:dLbl>
            <c:dLbl>
              <c:idx val="2"/>
              <c:layout>
                <c:manualLayout>
                  <c:x val="0"/>
                  <c:y val="0.175741700189477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Movimientos!$H$9:$H$11</c:f>
              <c:numCache>
                <c:formatCode>#,##0</c:formatCode>
                <c:ptCount val="3"/>
                <c:pt idx="0">
                  <c:v>326</c:v>
                </c:pt>
                <c:pt idx="1">
                  <c:v>184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2-4033-860E-FF0E9A9550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2896"/>
        <c:axId val="1665031056"/>
      </c:barChart>
      <c:catAx>
        <c:axId val="1665022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1056"/>
        <c:crosses val="autoZero"/>
        <c:auto val="1"/>
        <c:lblAlgn val="ctr"/>
        <c:lblOffset val="100"/>
        <c:noMultiLvlLbl val="0"/>
      </c:catAx>
      <c:valAx>
        <c:axId val="1665031056"/>
        <c:scaling>
          <c:logBase val="10"/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Monto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486909372692307E-3"/>
                  <c:y val="0.302564285770624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FF-4828-BAD6-C3A255569C39}"/>
                </c:ext>
              </c:extLst>
            </c:dLbl>
            <c:dLbl>
              <c:idx val="1"/>
              <c:layout>
                <c:manualLayout>
                  <c:x val="-2.4869093726923282E-3"/>
                  <c:y val="0.322090698577531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FF-4828-BAD6-C3A255569C39}"/>
                </c:ext>
              </c:extLst>
            </c:dLbl>
            <c:dLbl>
              <c:idx val="2"/>
              <c:layout>
                <c:manualLayout>
                  <c:x val="0"/>
                  <c:y val="0.32859965750135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Movimientos!$C$9:$C$11</c:f>
              <c:numCache>
                <c:formatCode>#,##0</c:formatCode>
                <c:ptCount val="3"/>
                <c:pt idx="0">
                  <c:v>12536039.6</c:v>
                </c:pt>
                <c:pt idx="1">
                  <c:v>27951214.800000001</c:v>
                </c:pt>
                <c:pt idx="2">
                  <c:v>86016211.650000006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F-4828-BAD6-C3A255569C39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3233312007718793E-3"/>
                  <c:y val="0.33483534129465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FF-4828-BAD6-C3A255569C39}"/>
                </c:ext>
              </c:extLst>
            </c:dLbl>
            <c:dLbl>
              <c:idx val="1"/>
              <c:layout>
                <c:manualLayout>
                  <c:x val="0"/>
                  <c:y val="0.250149280599739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FF-4828-BAD6-C3A255569C39}"/>
                </c:ext>
              </c:extLst>
            </c:dLbl>
            <c:dLbl>
              <c:idx val="2"/>
              <c:layout>
                <c:manualLayout>
                  <c:x val="2.322342527936185E-3"/>
                  <c:y val="0.284543901951295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Movimientos!$E$9:$E$11</c:f>
              <c:numCache>
                <c:formatCode>#,##0</c:formatCode>
                <c:ptCount val="3"/>
                <c:pt idx="0">
                  <c:v>185565.55</c:v>
                </c:pt>
                <c:pt idx="1">
                  <c:v>177672.9</c:v>
                </c:pt>
                <c:pt idx="2">
                  <c:v>9016735.0999999996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FF-4828-BAD6-C3A255569C39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305990200140395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FF-4828-BAD6-C3A255569C39}"/>
                </c:ext>
              </c:extLst>
            </c:dLbl>
            <c:dLbl>
              <c:idx val="1"/>
              <c:layout>
                <c:manualLayout>
                  <c:x val="-2.3145060115193996E-3"/>
                  <c:y val="0.331409426924884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FF-4828-BAD6-C3A255569C39}"/>
                </c:ext>
              </c:extLst>
            </c:dLbl>
            <c:dLbl>
              <c:idx val="2"/>
              <c:layout>
                <c:manualLayout>
                  <c:x val="-8.4864240063431912E-17"/>
                  <c:y val="0.3124991590642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Movimientos!$G$9:$G$11</c:f>
              <c:numCache>
                <c:formatCode>#,##0</c:formatCode>
                <c:ptCount val="3"/>
                <c:pt idx="0">
                  <c:v>3999498.8499999996</c:v>
                </c:pt>
                <c:pt idx="1">
                  <c:v>5271910.1199999992</c:v>
                </c:pt>
                <c:pt idx="2">
                  <c:v>5353448.84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FF-4828-BAD6-C3A255569C39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4.2432120031715956E-17"/>
                  <c:y val="0.315308464523181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FF-4828-BAD6-C3A255569C39}"/>
                </c:ext>
              </c:extLst>
            </c:dLbl>
            <c:dLbl>
              <c:idx val="1"/>
              <c:layout>
                <c:manualLayout>
                  <c:x val="4.8014153842116424E-3"/>
                  <c:y val="0.311265941242599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FF-4828-BAD6-C3A255569C39}"/>
                </c:ext>
              </c:extLst>
            </c:dLbl>
            <c:dLbl>
              <c:idx val="2"/>
              <c:layout>
                <c:manualLayout>
                  <c:x val="0"/>
                  <c:y val="0.32305064126862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Movimientos!$I$9:$I$11</c:f>
              <c:numCache>
                <c:formatCode>#,##0</c:formatCode>
                <c:ptCount val="3"/>
                <c:pt idx="0">
                  <c:v>3640270.93</c:v>
                </c:pt>
                <c:pt idx="1">
                  <c:v>2345111.3499999996</c:v>
                </c:pt>
                <c:pt idx="2">
                  <c:v>2204483.1399999997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AFF-4828-BAD6-C3A255569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5616"/>
        <c:axId val="1670809952"/>
      </c:barChart>
      <c:catAx>
        <c:axId val="166502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0809952"/>
        <c:crosses val="autoZero"/>
        <c:auto val="1"/>
        <c:lblAlgn val="ctr"/>
        <c:lblOffset val="100"/>
        <c:noMultiLvlLbl val="0"/>
      </c:catAx>
      <c:valAx>
        <c:axId val="1670809952"/>
        <c:scaling>
          <c:logBase val="10"/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Abril-Junio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Pension'!$B$9:$B$17</c:f>
              <c:numCache>
                <c:formatCode>#,##0</c:formatCode>
                <c:ptCount val="9"/>
                <c:pt idx="0">
                  <c:v>31019</c:v>
                </c:pt>
                <c:pt idx="1">
                  <c:v>59255</c:v>
                </c:pt>
                <c:pt idx="2">
                  <c:v>276</c:v>
                </c:pt>
                <c:pt idx="3">
                  <c:v>164</c:v>
                </c:pt>
                <c:pt idx="4">
                  <c:v>304</c:v>
                </c:pt>
                <c:pt idx="5">
                  <c:v>18929</c:v>
                </c:pt>
                <c:pt idx="6">
                  <c:v>21161</c:v>
                </c:pt>
                <c:pt idx="7">
                  <c:v>10167</c:v>
                </c:pt>
                <c:pt idx="8">
                  <c:v>17066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9-4047-9F40-71C6BD8AD3E7}"/>
            </c:ext>
          </c:extLst>
        </c:ser>
        <c:ser>
          <c:idx val="1"/>
          <c:order val="1"/>
          <c:tx>
            <c:v>Julio-Septiembre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Pension'!$F$9:$F$17</c:f>
              <c:numCache>
                <c:formatCode>#,##0</c:formatCode>
                <c:ptCount val="9"/>
                <c:pt idx="0">
                  <c:v>31137</c:v>
                </c:pt>
                <c:pt idx="1">
                  <c:v>59538</c:v>
                </c:pt>
                <c:pt idx="2">
                  <c:v>272</c:v>
                </c:pt>
                <c:pt idx="3">
                  <c:v>165</c:v>
                </c:pt>
                <c:pt idx="4">
                  <c:v>291</c:v>
                </c:pt>
                <c:pt idx="5">
                  <c:v>18719</c:v>
                </c:pt>
                <c:pt idx="6">
                  <c:v>21144</c:v>
                </c:pt>
                <c:pt idx="7">
                  <c:v>9753</c:v>
                </c:pt>
                <c:pt idx="8">
                  <c:v>17481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9-4047-9F40-71C6BD8A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1792"/>
        <c:axId val="1670802336"/>
      </c:barChart>
      <c:catAx>
        <c:axId val="16708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336"/>
        <c:crosses val="autoZero"/>
        <c:auto val="1"/>
        <c:lblAlgn val="ctr"/>
        <c:lblOffset val="100"/>
        <c:noMultiLvlLbl val="0"/>
      </c:catAx>
      <c:valAx>
        <c:axId val="167080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D-4104-B3CC-8200D90701E9}"/>
                </c:ext>
              </c:extLst>
            </c:dLbl>
            <c:dLbl>
              <c:idx val="1"/>
              <c:layout>
                <c:manualLayout>
                  <c:x val="-2.5816702227310574E-3"/>
                  <c:y val="0.47755701402459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FD-4104-B3CC-8200D90701E9}"/>
                </c:ext>
              </c:extLst>
            </c:dLbl>
            <c:dLbl>
              <c:idx val="2"/>
              <c:layout>
                <c:manualLayout>
                  <c:x val="-9.4815498035064744E-17"/>
                  <c:y val="0.267403366459109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FD-4104-B3CC-8200D90701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94236</c:v>
                </c:pt>
                <c:pt idx="1">
                  <c:v>94374</c:v>
                </c:pt>
                <c:pt idx="2">
                  <c:v>94222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0A-4452-858C-7F9BABBFE773}"/>
            </c:ext>
          </c:extLst>
        </c:ser>
        <c:ser>
          <c:idx val="1"/>
          <c:order val="1"/>
          <c:tx>
            <c:strRef>
              <c:f>'Afiliados y Cotizantes'!$C$6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75772127423728E-3"/>
                  <c:y val="0.2221491642159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07-4111-9C6F-70426A98AB28}"/>
                </c:ext>
              </c:extLst>
            </c:dLbl>
            <c:dLbl>
              <c:idx val="1"/>
              <c:layout>
                <c:manualLayout>
                  <c:x val="-2.5859070914124264E-3"/>
                  <c:y val="0.2286212264804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FD-4C7D-AD24-E902661EFCBE}"/>
                </c:ext>
              </c:extLst>
            </c:dLbl>
            <c:dLbl>
              <c:idx val="2"/>
              <c:layout>
                <c:manualLayout>
                  <c:x val="2.5859070914124264E-3"/>
                  <c:y val="0.23460799620377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FD-4104-B3CC-8200D90701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Cotizantes'!$C$7:$C$9</c:f>
              <c:numCache>
                <c:formatCode>#,##0</c:formatCode>
                <c:ptCount val="3"/>
                <c:pt idx="0">
                  <c:v>31384</c:v>
                </c:pt>
                <c:pt idx="1">
                  <c:v>31649</c:v>
                </c:pt>
                <c:pt idx="2">
                  <c:v>33258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0A-4452-858C-7F9BABBFE7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71600"/>
        <c:axId val="1578260720"/>
      </c:barChart>
      <c:lineChart>
        <c:grouping val="standard"/>
        <c:varyColors val="0"/>
        <c:ser>
          <c:idx val="2"/>
          <c:order val="2"/>
          <c:tx>
            <c:strRef>
              <c:f>'Afiliados y Cotizantes'!$D$6</c:f>
              <c:strCache>
                <c:ptCount val="1"/>
                <c:pt idx="0">
                  <c:v>%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272093495421197E-3"/>
                  <c:y val="-8.1490126180545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07-4111-9C6F-70426A98AB28}"/>
                </c:ext>
              </c:extLst>
            </c:dLbl>
            <c:dLbl>
              <c:idx val="1"/>
              <c:layout>
                <c:manualLayout>
                  <c:x val="-2.3235032004579517E-2"/>
                  <c:y val="-0.11373741188374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07-4111-9C6F-70426A98AB28}"/>
                </c:ext>
              </c:extLst>
            </c:dLbl>
            <c:dLbl>
              <c:idx val="2"/>
              <c:layout>
                <c:manualLayout>
                  <c:x val="-7.7512056028258463E-3"/>
                  <c:y val="-3.9872926910547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47766387117218E-2"/>
                      <c:h val="0.1720519038761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D25-44E4-888B-15C391A2CD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Cotizantes'!$D$7:$D$9</c:f>
              <c:numCache>
                <c:formatCode>0%</c:formatCode>
                <c:ptCount val="3"/>
                <c:pt idx="0">
                  <c:v>0.33303620696973557</c:v>
                </c:pt>
                <c:pt idx="1">
                  <c:v>0.33535719583783669</c:v>
                </c:pt>
                <c:pt idx="2">
                  <c:v>0.35297488909171953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0A-4452-858C-7F9BABBFE7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62352"/>
        <c:axId val="1578258544"/>
      </c:lineChart>
      <c:catAx>
        <c:axId val="157827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0720"/>
        <c:crosses val="autoZero"/>
        <c:auto val="1"/>
        <c:lblAlgn val="ctr"/>
        <c:lblOffset val="100"/>
        <c:noMultiLvlLbl val="0"/>
      </c:catAx>
      <c:valAx>
        <c:axId val="1578260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71600"/>
        <c:crosses val="autoZero"/>
        <c:crossBetween val="between"/>
      </c:valAx>
      <c:valAx>
        <c:axId val="1578258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62352"/>
        <c:crosses val="max"/>
        <c:crossBetween val="between"/>
      </c:valAx>
      <c:catAx>
        <c:axId val="157826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58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Abril-Junio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Pension'!$D$9:$D$17</c:f>
              <c:numCache>
                <c:formatCode>#,##0</c:formatCode>
                <c:ptCount val="9"/>
                <c:pt idx="0">
                  <c:v>389857979.25</c:v>
                </c:pt>
                <c:pt idx="1">
                  <c:v>510211625.12</c:v>
                </c:pt>
                <c:pt idx="2">
                  <c:v>4655585.25</c:v>
                </c:pt>
                <c:pt idx="3">
                  <c:v>4673660.1100000003</c:v>
                </c:pt>
                <c:pt idx="4">
                  <c:v>8135102.0700000003</c:v>
                </c:pt>
                <c:pt idx="5">
                  <c:v>423175892.00999999</c:v>
                </c:pt>
                <c:pt idx="6">
                  <c:v>450900872</c:v>
                </c:pt>
                <c:pt idx="7">
                  <c:v>61002000</c:v>
                </c:pt>
                <c:pt idx="8">
                  <c:v>175881784.37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9-44D0-B52B-F7CCBE23C12D}"/>
            </c:ext>
          </c:extLst>
        </c:ser>
        <c:ser>
          <c:idx val="1"/>
          <c:order val="1"/>
          <c:tx>
            <c:v>Julio-Septiembre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Pension'!$H$9:$H$17</c:f>
              <c:numCache>
                <c:formatCode>#,##0</c:formatCode>
                <c:ptCount val="9"/>
                <c:pt idx="0">
                  <c:v>395798200.02999997</c:v>
                </c:pt>
                <c:pt idx="1">
                  <c:v>514655292.12</c:v>
                </c:pt>
                <c:pt idx="2">
                  <c:v>4588034.25</c:v>
                </c:pt>
                <c:pt idx="3">
                  <c:v>4769926.3500000006</c:v>
                </c:pt>
                <c:pt idx="4">
                  <c:v>7859081.6799999997</c:v>
                </c:pt>
                <c:pt idx="5">
                  <c:v>422264407.25999999</c:v>
                </c:pt>
                <c:pt idx="6">
                  <c:v>451598843.05000001</c:v>
                </c:pt>
                <c:pt idx="7">
                  <c:v>58518000</c:v>
                </c:pt>
                <c:pt idx="8">
                  <c:v>181019721.69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9-44D0-B52B-F7CCBE23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8864"/>
        <c:axId val="1670811040"/>
      </c:barChart>
      <c:catAx>
        <c:axId val="16708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1040"/>
        <c:crosses val="autoZero"/>
        <c:auto val="1"/>
        <c:lblAlgn val="ctr"/>
        <c:lblOffset val="100"/>
        <c:noMultiLvlLbl val="0"/>
      </c:catAx>
      <c:valAx>
        <c:axId val="167081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Monto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Abril-Junio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Pension'!$B$32:$B$44</c:f>
              <c:numCache>
                <c:formatCode>#,##0</c:formatCode>
                <c:ptCount val="13"/>
                <c:pt idx="0">
                  <c:v>45</c:v>
                </c:pt>
                <c:pt idx="1">
                  <c:v>1</c:v>
                </c:pt>
                <c:pt idx="2">
                  <c:v>92637</c:v>
                </c:pt>
                <c:pt idx="3">
                  <c:v>19649</c:v>
                </c:pt>
                <c:pt idx="4">
                  <c:v>6559</c:v>
                </c:pt>
                <c:pt idx="5">
                  <c:v>3631</c:v>
                </c:pt>
                <c:pt idx="6">
                  <c:v>2221</c:v>
                </c:pt>
                <c:pt idx="7">
                  <c:v>1221</c:v>
                </c:pt>
                <c:pt idx="8">
                  <c:v>264</c:v>
                </c:pt>
                <c:pt idx="9">
                  <c:v>185</c:v>
                </c:pt>
                <c:pt idx="10">
                  <c:v>254</c:v>
                </c:pt>
                <c:pt idx="11">
                  <c:v>299</c:v>
                </c:pt>
                <c:pt idx="1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5-4C06-ADE3-C67B6B3CDF6E}"/>
            </c:ext>
          </c:extLst>
        </c:ser>
        <c:ser>
          <c:idx val="1"/>
          <c:order val="1"/>
          <c:tx>
            <c:v>Julio-Septiembre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Pension'!$F$32:$F$44</c:f>
              <c:numCache>
                <c:formatCode>#,##0</c:formatCode>
                <c:ptCount val="13"/>
                <c:pt idx="0">
                  <c:v>44</c:v>
                </c:pt>
                <c:pt idx="1">
                  <c:v>1</c:v>
                </c:pt>
                <c:pt idx="2">
                  <c:v>91543</c:v>
                </c:pt>
                <c:pt idx="3">
                  <c:v>21220</c:v>
                </c:pt>
                <c:pt idx="4">
                  <c:v>6548</c:v>
                </c:pt>
                <c:pt idx="5">
                  <c:v>3632</c:v>
                </c:pt>
                <c:pt idx="6">
                  <c:v>2268</c:v>
                </c:pt>
                <c:pt idx="7">
                  <c:v>1235</c:v>
                </c:pt>
                <c:pt idx="8">
                  <c:v>278</c:v>
                </c:pt>
                <c:pt idx="9">
                  <c:v>200</c:v>
                </c:pt>
                <c:pt idx="10">
                  <c:v>285</c:v>
                </c:pt>
                <c:pt idx="11">
                  <c:v>299</c:v>
                </c:pt>
                <c:pt idx="1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5-4C06-ADE3-C67B6B3C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12128"/>
        <c:axId val="1670796896"/>
      </c:barChart>
      <c:catAx>
        <c:axId val="16708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6896"/>
        <c:crosses val="autoZero"/>
        <c:auto val="1"/>
        <c:lblAlgn val="ctr"/>
        <c:lblOffset val="100"/>
        <c:noMultiLvlLbl val="0"/>
      </c:catAx>
      <c:valAx>
        <c:axId val="16707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Monto de Pensión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Abril-Junio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Pension'!$D$32:$D$44</c:f>
              <c:numCache>
                <c:formatCode>#,##0</c:formatCode>
                <c:ptCount val="13"/>
                <c:pt idx="0">
                  <c:v>180816.53</c:v>
                </c:pt>
                <c:pt idx="1">
                  <c:v>5117.5</c:v>
                </c:pt>
                <c:pt idx="2">
                  <c:v>743156809.96000004</c:v>
                </c:pt>
                <c:pt idx="3">
                  <c:v>242377945.27000001</c:v>
                </c:pt>
                <c:pt idx="4">
                  <c:v>160967038.59999999</c:v>
                </c:pt>
                <c:pt idx="5">
                  <c:v>121803583.56</c:v>
                </c:pt>
                <c:pt idx="6">
                  <c:v>96614948.510000005</c:v>
                </c:pt>
                <c:pt idx="7">
                  <c:v>64358921.82</c:v>
                </c:pt>
                <c:pt idx="8">
                  <c:v>16486969.1</c:v>
                </c:pt>
                <c:pt idx="9">
                  <c:v>13604524.550000001</c:v>
                </c:pt>
                <c:pt idx="10">
                  <c:v>21265395.830000002</c:v>
                </c:pt>
                <c:pt idx="11">
                  <c:v>28698863.350000001</c:v>
                </c:pt>
                <c:pt idx="12">
                  <c:v>7070693.6000000006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7-44F1-B06B-1E6FB69EDFA2}"/>
            </c:ext>
          </c:extLst>
        </c:ser>
        <c:ser>
          <c:idx val="1"/>
          <c:order val="1"/>
          <c:tx>
            <c:v>Julio-Septiembre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Pension'!$H$32:$H$44</c:f>
              <c:numCache>
                <c:formatCode>#,##0</c:formatCode>
                <c:ptCount val="13"/>
                <c:pt idx="0">
                  <c:v>176816.53</c:v>
                </c:pt>
                <c:pt idx="1">
                  <c:v>5117.5</c:v>
                </c:pt>
                <c:pt idx="2">
                  <c:v>734388808.12</c:v>
                </c:pt>
                <c:pt idx="3">
                  <c:v>258148105.94</c:v>
                </c:pt>
                <c:pt idx="4">
                  <c:v>160706589.02000001</c:v>
                </c:pt>
                <c:pt idx="5">
                  <c:v>121874426.85000001</c:v>
                </c:pt>
                <c:pt idx="6">
                  <c:v>98519359.400000006</c:v>
                </c:pt>
                <c:pt idx="7">
                  <c:v>65119191.870000005</c:v>
                </c:pt>
                <c:pt idx="8">
                  <c:v>17374248.990000002</c:v>
                </c:pt>
                <c:pt idx="9">
                  <c:v>14705196.380000001</c:v>
                </c:pt>
                <c:pt idx="10">
                  <c:v>23755245.830000002</c:v>
                </c:pt>
                <c:pt idx="11">
                  <c:v>28698863.350000001</c:v>
                </c:pt>
                <c:pt idx="12">
                  <c:v>7490693.6000000006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7-44F1-B06B-1E6FB69E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2880"/>
        <c:axId val="1670803968"/>
      </c:barChart>
      <c:catAx>
        <c:axId val="16708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3968"/>
        <c:crosses val="autoZero"/>
        <c:auto val="1"/>
        <c:lblAlgn val="ctr"/>
        <c:lblOffset val="100"/>
        <c:noMultiLvlLbl val="0"/>
      </c:catAx>
      <c:valAx>
        <c:axId val="16708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Edad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Abril-Junio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Pension'!$A$53:$A$63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Pension'!$B$54:$B$63</c:f>
              <c:numCache>
                <c:formatCode>#,##0</c:formatCode>
                <c:ptCount val="10"/>
                <c:pt idx="0">
                  <c:v>8</c:v>
                </c:pt>
                <c:pt idx="1">
                  <c:v>86</c:v>
                </c:pt>
                <c:pt idx="2">
                  <c:v>589</c:v>
                </c:pt>
                <c:pt idx="3">
                  <c:v>3077</c:v>
                </c:pt>
                <c:pt idx="4">
                  <c:v>34793</c:v>
                </c:pt>
                <c:pt idx="5">
                  <c:v>46288</c:v>
                </c:pt>
                <c:pt idx="6">
                  <c:v>23828</c:v>
                </c:pt>
                <c:pt idx="7">
                  <c:v>5471</c:v>
                </c:pt>
                <c:pt idx="8">
                  <c:v>331</c:v>
                </c:pt>
                <c:pt idx="9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5-4BEB-A242-114DA170D702}"/>
            </c:ext>
          </c:extLst>
        </c:ser>
        <c:ser>
          <c:idx val="1"/>
          <c:order val="1"/>
          <c:tx>
            <c:v>Julio-Septiembre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Pension'!$A$53:$A$63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Pension'!$F$54:$F$63</c:f>
              <c:numCache>
                <c:formatCode>#,##0</c:formatCode>
                <c:ptCount val="10"/>
                <c:pt idx="0">
                  <c:v>10</c:v>
                </c:pt>
                <c:pt idx="1">
                  <c:v>87</c:v>
                </c:pt>
                <c:pt idx="2">
                  <c:v>605</c:v>
                </c:pt>
                <c:pt idx="3">
                  <c:v>3130</c:v>
                </c:pt>
                <c:pt idx="4">
                  <c:v>36116</c:v>
                </c:pt>
                <c:pt idx="5">
                  <c:v>46247</c:v>
                </c:pt>
                <c:pt idx="6">
                  <c:v>23342</c:v>
                </c:pt>
                <c:pt idx="7">
                  <c:v>5205</c:v>
                </c:pt>
                <c:pt idx="8">
                  <c:v>311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5-4BEB-A242-114DA17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0160"/>
        <c:axId val="1670805600"/>
      </c:barChart>
      <c:catAx>
        <c:axId val="16708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5600"/>
        <c:crosses val="autoZero"/>
        <c:auto val="1"/>
        <c:lblAlgn val="ctr"/>
        <c:lblOffset val="100"/>
        <c:noMultiLvlLbl val="0"/>
      </c:catAx>
      <c:valAx>
        <c:axId val="16708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Edad de Pensionados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Abril-Junio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Pension'!$A$54:$A$63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Pension'!$D$53:$D$63</c:f>
              <c:numCache>
                <c:formatCode>#,##0.00</c:formatCode>
                <c:ptCount val="10"/>
                <c:pt idx="0">
                  <c:v>120807.35</c:v>
                </c:pt>
                <c:pt idx="1">
                  <c:v>1322300.99</c:v>
                </c:pt>
                <c:pt idx="2">
                  <c:v>7897693.6000000006</c:v>
                </c:pt>
                <c:pt idx="3">
                  <c:v>48706254.039999999</c:v>
                </c:pt>
                <c:pt idx="4">
                  <c:v>480986552.06</c:v>
                </c:pt>
                <c:pt idx="5">
                  <c:v>627894030.26999998</c:v>
                </c:pt>
                <c:pt idx="6">
                  <c:v>283756170.79000002</c:v>
                </c:pt>
                <c:pt idx="7">
                  <c:v>61447621.310000002</c:v>
                </c:pt>
                <c:pt idx="8">
                  <c:v>3305330.89</c:v>
                </c:pt>
                <c:pt idx="9">
                  <c:v>1154866.8799999999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C2C-B1C5-95C571BD3EF0}"/>
            </c:ext>
          </c:extLst>
        </c:ser>
        <c:ser>
          <c:idx val="1"/>
          <c:order val="1"/>
          <c:tx>
            <c:v>Julio-Septiembre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Pension'!$A$54:$A$63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Pension'!$H$54:$H$63</c:f>
              <c:numCache>
                <c:formatCode>#,##0</c:formatCode>
                <c:ptCount val="10"/>
                <c:pt idx="0">
                  <c:v>153307.35</c:v>
                </c:pt>
                <c:pt idx="1">
                  <c:v>1330300.99</c:v>
                </c:pt>
                <c:pt idx="2">
                  <c:v>8305485.0300000003</c:v>
                </c:pt>
                <c:pt idx="3">
                  <c:v>49669578.490000002</c:v>
                </c:pt>
                <c:pt idx="4">
                  <c:v>500030857.19999999</c:v>
                </c:pt>
                <c:pt idx="5">
                  <c:v>630197395.36000001</c:v>
                </c:pt>
                <c:pt idx="6">
                  <c:v>279039811.43000001</c:v>
                </c:pt>
                <c:pt idx="7">
                  <c:v>58604594.230000004</c:v>
                </c:pt>
                <c:pt idx="8">
                  <c:v>3124466.42</c:v>
                </c:pt>
                <c:pt idx="9">
                  <c:v>506866.88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4C2C-B1C5-95C571BD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7232"/>
        <c:axId val="1670799072"/>
      </c:barChart>
      <c:catAx>
        <c:axId val="16708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9072"/>
        <c:crosses val="autoZero"/>
        <c:auto val="1"/>
        <c:lblAlgn val="ctr"/>
        <c:lblOffset val="100"/>
        <c:noMultiLvlLbl val="0"/>
      </c:catAx>
      <c:valAx>
        <c:axId val="16707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accent1"/>
                </a:solidFill>
              </a:rPr>
              <a:t>Porcentaje Modalidad</a:t>
            </a:r>
            <a:r>
              <a:rPr lang="es-ES" sz="1400" baseline="0">
                <a:solidFill>
                  <a:schemeClr val="accent1"/>
                </a:solidFill>
              </a:rPr>
              <a:t> de Pago</a:t>
            </a:r>
            <a:endParaRPr lang="es-ES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24019212290391287"/>
          <c:y val="2.8813564442481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882-47C0-9C20-76A0642EBB7A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882-47C0-9C20-76A0642EBB7A}"/>
              </c:ext>
            </c:extLst>
          </c:dPt>
          <c:dLbls>
            <c:dLbl>
              <c:idx val="0"/>
              <c:layout>
                <c:manualLayout>
                  <c:x val="-1.8055555555555554E-2"/>
                  <c:y val="-0.355324074074074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Electrónico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6A789905-C907-4699-A041-A6FD64461BF5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41666666666666"/>
                      <c:h val="0.210648148148148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82-47C0-9C20-76A0642EBB7A}"/>
                </c:ext>
              </c:extLst>
            </c:dLbl>
            <c:dLbl>
              <c:idx val="1"/>
              <c:layout>
                <c:manualLayout>
                  <c:x val="-4.6721964522656895E-2"/>
                  <c:y val="5.278391640570033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Cheque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928CA2D4-AB57-4300-BD4F-83CC6382AA06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02209762708696"/>
                      <c:h val="0.14416160985114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82-47C0-9C20-76A0642EB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(Modalidad!$O$8,Modalidad!$Q$8)</c:f>
              <c:strCache>
                <c:ptCount val="2"/>
                <c:pt idx="0">
                  <c:v>Monto</c:v>
                </c:pt>
                <c:pt idx="1">
                  <c:v>Monto</c:v>
                </c:pt>
              </c:strCache>
            </c:strRef>
          </c:cat>
          <c:val>
            <c:numRef>
              <c:f>(Modalidad!$O$27,Modalidad!$Q$27)</c:f>
              <c:numCache>
                <c:formatCode>0.00%</c:formatCode>
                <c:ptCount val="2"/>
                <c:pt idx="0">
                  <c:v>0.98700145720321764</c:v>
                </c:pt>
                <c:pt idx="1">
                  <c:v>1.2998542796782352E-2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2-47C0-9C20-76A0642E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0597950039618"/>
          <c:y val="4.2299470680314477E-2"/>
          <c:w val="0.65858516691985691"/>
          <c:h val="0.72007785017025605"/>
        </c:manualLayout>
      </c:layout>
      <c:barChart>
        <c:barDir val="col"/>
        <c:grouping val="clustered"/>
        <c:varyColors val="0"/>
        <c:ser>
          <c:idx val="0"/>
          <c:order val="0"/>
          <c:tx>
            <c:v>Pensionados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5670606336657826E-3"/>
                  <c:y val="0.18891668157382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88-4D3B-A92B-728D1A25D15E}"/>
                </c:ext>
              </c:extLst>
            </c:dLbl>
            <c:dLbl>
              <c:idx val="1"/>
              <c:layout>
                <c:manualLayout>
                  <c:x val="5.317712263509332E-3"/>
                  <c:y val="0.26754118620320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88-4D3B-A92B-728D1A25D15E}"/>
                </c:ext>
              </c:extLst>
            </c:dLbl>
            <c:dLbl>
              <c:idx val="2"/>
              <c:layout>
                <c:manualLayout>
                  <c:x val="-2.6235172130196025E-3"/>
                  <c:y val="0.19702428256456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Retroactivos!$K$8:$K$10</c:f>
              <c:numCache>
                <c:formatCode>_(* #,##0_);_(* \(#,##0\);_(* "-"??_);_(@_)</c:formatCode>
                <c:ptCount val="3"/>
                <c:pt idx="0">
                  <c:v>432</c:v>
                </c:pt>
                <c:pt idx="1">
                  <c:v>1158</c:v>
                </c:pt>
                <c:pt idx="2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8-4F3E-9D80-50FAAA1EC586}"/>
            </c:ext>
          </c:extLst>
        </c:ser>
        <c:ser>
          <c:idx val="1"/>
          <c:order val="1"/>
          <c:tx>
            <c:v>Pensiones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1569132452793808E-4"/>
                  <c:y val="0.1756957416834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88-4D3B-A92B-728D1A25D15E}"/>
                </c:ext>
              </c:extLst>
            </c:dLbl>
            <c:dLbl>
              <c:idx val="1"/>
              <c:layout>
                <c:manualLayout>
                  <c:x val="5.366333550165709E-3"/>
                  <c:y val="0.384158776289687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88-4D3B-A92B-728D1A25D15E}"/>
                </c:ext>
              </c:extLst>
            </c:dLbl>
            <c:dLbl>
              <c:idx val="2"/>
              <c:layout>
                <c:manualLayout>
                  <c:x val="-1.9620304220963475E-3"/>
                  <c:y val="0.20522766845129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Retroactivos!$L$8:$L$10</c:f>
              <c:numCache>
                <c:formatCode>_(* #,##0_);_(* \(#,##0\);_(* "-"??_);_(@_)</c:formatCode>
                <c:ptCount val="3"/>
                <c:pt idx="0">
                  <c:v>461</c:v>
                </c:pt>
                <c:pt idx="1">
                  <c:v>1173</c:v>
                </c:pt>
                <c:pt idx="2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51440"/>
        <c:axId val="1672050896"/>
      </c:barChart>
      <c:lineChart>
        <c:grouping val="standard"/>
        <c:varyColors val="0"/>
        <c:ser>
          <c:idx val="2"/>
          <c:order val="2"/>
          <c:tx>
            <c:strRef>
              <c:f>Retroactivos!$M$7</c:f>
              <c:strCache>
                <c:ptCount val="1"/>
                <c:pt idx="0">
                  <c:v>Monto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6B88-4F3E-9D80-50FAAA1EC586}"/>
              </c:ext>
            </c:extLst>
          </c:dPt>
          <c:dLbls>
            <c:dLbl>
              <c:idx val="0"/>
              <c:layout>
                <c:manualLayout>
                  <c:x val="-5.9927515843612063E-2"/>
                  <c:y val="-0.10369742819741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88-4F3E-9D80-50FAAA1EC586}"/>
                </c:ext>
              </c:extLst>
            </c:dLbl>
            <c:dLbl>
              <c:idx val="1"/>
              <c:layout>
                <c:manualLayout>
                  <c:x val="1.9009383196031866E-2"/>
                  <c:y val="1.1053314572906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88-4D3B-A92B-728D1A25D15E}"/>
                </c:ext>
              </c:extLst>
            </c:dLbl>
            <c:dLbl>
              <c:idx val="2"/>
              <c:layout>
                <c:manualLayout>
                  <c:x val="-6.895508204054665E-2"/>
                  <c:y val="5.7700571597816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88-4D3B-A92B-728D1A25D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Retroactivos!$M$8:$M$10</c:f>
              <c:numCache>
                <c:formatCode>_(* #,##0_);_(* \(#,##0\);_(* "-"??_);_(@_)</c:formatCode>
                <c:ptCount val="3"/>
                <c:pt idx="0">
                  <c:v>25194351.870000001</c:v>
                </c:pt>
                <c:pt idx="1">
                  <c:v>37840874.5</c:v>
                </c:pt>
                <c:pt idx="2">
                  <c:v>26778812.490000002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55792"/>
        <c:axId val="1672053072"/>
      </c:lineChart>
      <c:catAx>
        <c:axId val="167205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0896"/>
        <c:crosses val="autoZero"/>
        <c:auto val="1"/>
        <c:lblAlgn val="ctr"/>
        <c:lblOffset val="100"/>
        <c:noMultiLvlLbl val="0"/>
      </c:catAx>
      <c:valAx>
        <c:axId val="167205089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72051440"/>
        <c:crosses val="autoZero"/>
        <c:crossBetween val="between"/>
      </c:valAx>
      <c:valAx>
        <c:axId val="1672053072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1672055792"/>
        <c:crosses val="max"/>
        <c:crossBetween val="between"/>
      </c:valAx>
      <c:catAx>
        <c:axId val="167205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53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932899446490744"/>
          <c:y val="0.87879252468585134"/>
          <c:w val="0.51212458447537823"/>
          <c:h val="8.4031421083945429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Reintegro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Cheques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Reintegros!$H$7</c:f>
              <c:strCache>
                <c:ptCount val="1"/>
                <c:pt idx="0">
                  <c:v>Cantidad 
de Cheques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80</c:v>
                </c:pt>
                <c:pt idx="2">
                  <c:v>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3-4894-8909-6FB7CBDC635F}"/>
            </c:ext>
          </c:extLst>
        </c:ser>
        <c:ser>
          <c:idx val="1"/>
          <c:order val="1"/>
          <c:tx>
            <c:strRef>
              <c:f>Reintegros!$I$7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797212.89</c:v>
                </c:pt>
                <c:pt idx="2" formatCode="_(* #,##0_);_(* \(#,##0\);_(* &quot;-&quot;??_);_(@_)">
                  <c:v>20744930.620000001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3-4894-8909-6FB7CBDC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088"/>
        <c:axId val="1672050352"/>
      </c:barChart>
      <c:catAx>
        <c:axId val="167204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50352"/>
        <c:crosses val="autoZero"/>
        <c:auto val="1"/>
        <c:lblAlgn val="ctr"/>
        <c:lblOffset val="100"/>
        <c:noMultiLvlLbl val="0"/>
      </c:catAx>
      <c:valAx>
        <c:axId val="167205035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Créditos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Rechazados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'Créditos Rechazados'!$H$7</c:f>
              <c:strCache>
                <c:ptCount val="1"/>
                <c:pt idx="0">
                  <c:v>Cantidad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FB4-B4A2-1D086BEA9BB5}"/>
            </c:ext>
          </c:extLst>
        </c:ser>
        <c:ser>
          <c:idx val="1"/>
          <c:order val="1"/>
          <c:tx>
            <c:strRef>
              <c:f>'Créditos Rechazados'!$I$7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414032.22</c:v>
                </c:pt>
                <c:pt idx="2" formatCode="_(* #,##0_);_(* \(#,##0\);_(* &quot;-&quot;??_);_(@_)">
                  <c:v>1591442.78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FB4-B4A2-1D086BEA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632"/>
        <c:axId val="1672049264"/>
      </c:barChart>
      <c:catAx>
        <c:axId val="167204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9264"/>
        <c:crosses val="autoZero"/>
        <c:auto val="1"/>
        <c:lblAlgn val="ctr"/>
        <c:lblOffset val="100"/>
        <c:noMultiLvlLbl val="0"/>
      </c:catAx>
      <c:valAx>
        <c:axId val="16720492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r>
              <a:rPr lang="es-ES" sz="800">
                <a:solidFill>
                  <a:schemeClr val="tx2">
                    <a:lumMod val="60000"/>
                    <a:lumOff val="40000"/>
                  </a:schemeClr>
                </a:solidFill>
              </a:rPr>
              <a:t>Recuperación</a:t>
            </a:r>
            <a:r>
              <a:rPr lang="es-ES" sz="8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Fondos</a:t>
            </a:r>
          </a:p>
          <a:p>
            <a:pPr>
              <a:defRPr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r>
              <a:rPr lang="es-ES" sz="8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Monto solicitado / Total Recuperado</a:t>
            </a:r>
            <a:endParaRPr lang="es-ES" sz="8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32894941816863671"/>
          <c:y val="2.2574339789436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16805319017807"/>
          <c:y val="0.1147686611742301"/>
          <c:w val="0.71680195964278259"/>
          <c:h val="0.696257253237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'Recuperación Fondos'!$C$6</c:f>
              <c:strCache>
                <c:ptCount val="1"/>
                <c:pt idx="0">
                  <c:v>Monto 
Solicitado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1627360304052202E-3"/>
                  <c:y val="1.0004226439254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53-4937-ACFC-AC9F032F728F}"/>
                </c:ext>
              </c:extLst>
            </c:dLbl>
            <c:dLbl>
              <c:idx val="1"/>
              <c:layout>
                <c:manualLayout>
                  <c:x val="-3.1731357821023667E-2"/>
                  <c:y val="2.2274235425624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53-4937-ACFC-AC9F032F728F}"/>
                </c:ext>
              </c:extLst>
            </c:dLbl>
            <c:dLbl>
              <c:idx val="2"/>
              <c:layout>
                <c:manualLayout>
                  <c:x val="1.8630536834673497E-2"/>
                  <c:y val="2.5778633795243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'Recuperación Fondos'!$C$7:$C$9</c:f>
              <c:numCache>
                <c:formatCode>#,##0</c:formatCode>
                <c:ptCount val="3"/>
                <c:pt idx="0">
                  <c:v>5411082.3700000001</c:v>
                </c:pt>
                <c:pt idx="1">
                  <c:v>3473837.04</c:v>
                </c:pt>
                <c:pt idx="2">
                  <c:v>6802181.9199999999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3-4937-ACFC-AC9F032F728F}"/>
            </c:ext>
          </c:extLst>
        </c:ser>
        <c:ser>
          <c:idx val="1"/>
          <c:order val="1"/>
          <c:tx>
            <c:strRef>
              <c:f>'Recuperación Fondos'!$F$6</c:f>
              <c:strCache>
                <c:ptCount val="1"/>
                <c:pt idx="0">
                  <c:v>Total 
Recuperado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4392903851938711E-2"/>
                  <c:y val="6.3777124573428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53-4937-ACFC-AC9F032F728F}"/>
                </c:ext>
              </c:extLst>
            </c:dLbl>
            <c:dLbl>
              <c:idx val="1"/>
              <c:layout>
                <c:manualLayout>
                  <c:x val="2.3023340669263023E-2"/>
                  <c:y val="1.8518638995511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53-4937-ACFC-AC9F032F728F}"/>
                </c:ext>
              </c:extLst>
            </c:dLbl>
            <c:dLbl>
              <c:idx val="2"/>
              <c:layout>
                <c:manualLayout>
                  <c:x val="1.11111111111112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'Recuperación Fondos'!$F$7:$F$9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1294925.69</c:v>
                </c:pt>
                <c:pt idx="2">
                  <c:v>705352.16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48720"/>
        <c:axId val="1672045456"/>
      </c:barChart>
      <c:lineChart>
        <c:grouping val="standard"/>
        <c:varyColors val="0"/>
        <c:ser>
          <c:idx val="2"/>
          <c:order val="2"/>
          <c:tx>
            <c:strRef>
              <c:f>'Recuperación Fondos'!$G$6</c:f>
              <c:strCache>
                <c:ptCount val="1"/>
                <c:pt idx="0">
                  <c:v>% Recuperado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0720847477461065E-3"/>
                  <c:y val="-2.7777810635139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53-4937-ACFC-AC9F032F728F}"/>
                </c:ext>
              </c:extLst>
            </c:dLbl>
            <c:dLbl>
              <c:idx val="1"/>
              <c:layout>
                <c:manualLayout>
                  <c:x val="-4.631520939933307E-2"/>
                  <c:y val="-4.8986580396378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53-4937-ACFC-AC9F032F728F}"/>
                </c:ext>
              </c:extLst>
            </c:dLbl>
            <c:dLbl>
              <c:idx val="2"/>
              <c:layout>
                <c:manualLayout>
                  <c:x val="-2.2222261151422298E-2"/>
                  <c:y val="-1.9911462553450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'Recuperación Fondos'!$G$7:$G$9</c:f>
              <c:numCache>
                <c:formatCode>0%</c:formatCode>
                <c:ptCount val="3"/>
                <c:pt idx="0">
                  <c:v>0</c:v>
                </c:pt>
                <c:pt idx="1">
                  <c:v>0.37276523771535347</c:v>
                </c:pt>
                <c:pt idx="2">
                  <c:v>0.10369498615232567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48176"/>
        <c:axId val="1672052528"/>
      </c:lineChart>
      <c:valAx>
        <c:axId val="1672052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crossAx val="1672048176"/>
        <c:crosses val="max"/>
        <c:crossBetween val="between"/>
      </c:valAx>
      <c:catAx>
        <c:axId val="167204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2528"/>
        <c:crosses val="autoZero"/>
        <c:auto val="1"/>
        <c:lblAlgn val="ctr"/>
        <c:lblOffset val="100"/>
        <c:noMultiLvlLbl val="0"/>
      </c:catAx>
      <c:valAx>
        <c:axId val="1672045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72048720"/>
        <c:crosses val="autoZero"/>
        <c:crossBetween val="between"/>
      </c:valAx>
      <c:catAx>
        <c:axId val="167204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545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aseline="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779E-3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8-45C9-98ED-9F30D255D1DD}"/>
                </c:ext>
              </c:extLst>
            </c:dLbl>
            <c:dLbl>
              <c:idx val="1"/>
              <c:layout>
                <c:manualLayout>
                  <c:x val="0"/>
                  <c:y val="0.25925925925925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8-45C9-98ED-9F30D255D1DD}"/>
                </c:ext>
              </c:extLst>
            </c:dLbl>
            <c:dLbl>
              <c:idx val="2"/>
              <c:layout>
                <c:manualLayout>
                  <c:x val="-5.089806020278669E-3"/>
                  <c:y val="0.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78-45C9-98ED-9F30D255D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Cotizantes'!$A$19:$A$21</c:f>
            </c:multiLvlStrRef>
          </c:cat>
          <c:val>
            <c:numRef>
              <c:f>'Afiliados y Cotizantes'!$B$19:$B$21</c:f>
            </c:numRef>
          </c:val>
          <c:extLst>
            <c:ext xmlns:c16="http://schemas.microsoft.com/office/drawing/2014/chart" uri="{C3380CC4-5D6E-409C-BE32-E72D297353CC}">
              <c16:uniqueId val="{00000003-2078-45C9-98ED-9F30D255D1DD}"/>
            </c:ext>
          </c:extLst>
        </c:ser>
        <c:ser>
          <c:idx val="1"/>
          <c:order val="1"/>
          <c:tx>
            <c:strRef>
              <c:f>'Afiliados y Cotizantes'!$E$6</c:f>
              <c:strCache>
                <c:ptCount val="1"/>
                <c:pt idx="0">
                  <c:v>No 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5555555555555558E-3"/>
                  <c:y val="0.180555555555555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78-45C9-98ED-9F30D255D1DD}"/>
                </c:ext>
              </c:extLst>
            </c:dLbl>
            <c:dLbl>
              <c:idx val="1"/>
              <c:layout>
                <c:manualLayout>
                  <c:x val="0"/>
                  <c:y val="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78-45C9-98ED-9F30D255D1DD}"/>
                </c:ext>
              </c:extLst>
            </c:dLbl>
            <c:dLbl>
              <c:idx val="2"/>
              <c:layout>
                <c:manualLayout>
                  <c:x val="5.322654626403322E-3"/>
                  <c:y val="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78-45C9-98ED-9F30D255D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Cotizantes'!$A$19:$A$21</c:f>
            </c:multiLvlStrRef>
          </c:cat>
          <c:val>
            <c:numRef>
              <c:f>'Afiliados y Cotizantes'!$E$19:$E$21</c:f>
            </c:numRef>
          </c:val>
          <c:extLst>
            <c:ext xmlns:c16="http://schemas.microsoft.com/office/drawing/2014/chart" uri="{C3380CC4-5D6E-409C-BE32-E72D297353CC}">
              <c16:uniqueId val="{00000007-2078-45C9-98ED-9F30D255D1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68000"/>
        <c:axId val="1667768928"/>
      </c:barChart>
      <c:lineChart>
        <c:grouping val="standard"/>
        <c:varyColors val="0"/>
        <c:ser>
          <c:idx val="2"/>
          <c:order val="2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6150311189537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78-45C9-98ED-9F30D255D1DD}"/>
                </c:ext>
              </c:extLst>
            </c:dLbl>
            <c:dLbl>
              <c:idx val="1"/>
              <c:layout>
                <c:manualLayout>
                  <c:x val="-1.5269418060836006E-2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E4-49FA-B031-0D3D53027384}"/>
                </c:ext>
              </c:extLst>
            </c:dLbl>
            <c:dLbl>
              <c:idx val="2"/>
              <c:layout>
                <c:manualLayout>
                  <c:x val="-2.6164408349125427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78-45C9-98ED-9F30D255D1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Cotizantes'!$A$19:$A$21</c:f>
            </c:multiLvlStrRef>
          </c:cat>
          <c:val>
            <c:numRef>
              <c:f>'Afiliados y Cotizantes'!$F$19:$F$21</c:f>
            </c:numRef>
          </c:val>
          <c:smooth val="0"/>
          <c:extLst>
            <c:ext xmlns:c16="http://schemas.microsoft.com/office/drawing/2014/chart" uri="{C3380CC4-5D6E-409C-BE32-E72D297353CC}">
              <c16:uniqueId val="{0000000A-2078-45C9-98ED-9F30D255D1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0224"/>
        <c:axId val="1667760768"/>
      </c:lineChart>
      <c:catAx>
        <c:axId val="144236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8928"/>
        <c:crosses val="autoZero"/>
        <c:auto val="1"/>
        <c:lblAlgn val="ctr"/>
        <c:lblOffset val="100"/>
        <c:noMultiLvlLbl val="0"/>
      </c:catAx>
      <c:valAx>
        <c:axId val="16677689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442368000"/>
        <c:crosses val="autoZero"/>
        <c:crossBetween val="between"/>
      </c:valAx>
      <c:valAx>
        <c:axId val="16677607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0224"/>
        <c:crosses val="max"/>
        <c:crossBetween val="between"/>
      </c:valAx>
      <c:catAx>
        <c:axId val="166776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07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Servicios!$X$10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Servicios!$B$11:$B$29</c:f>
              <c:strCache>
                <c:ptCount val="19"/>
                <c:pt idx="0">
                  <c:v>Aplicación Descuento 2%</c:v>
                </c:pt>
                <c:pt idx="1">
                  <c:v>Certificación </c:v>
                </c:pt>
                <c:pt idx="2">
                  <c:v>Exclusiones</c:v>
                </c:pt>
                <c:pt idx="3">
                  <c:v>Modificación de Datos</c:v>
                </c:pt>
                <c:pt idx="4">
                  <c:v>Modificación de Datos Críticos</c:v>
                </c:pt>
                <c:pt idx="5">
                  <c:v>Pensión por Sobrevivencia Concubinato</c:v>
                </c:pt>
                <c:pt idx="6">
                  <c:v>Pensión por Sobrevivencia Conyuge</c:v>
                </c:pt>
                <c:pt idx="7">
                  <c:v>Pensión por Sobrevivencia Menor</c:v>
                </c:pt>
                <c:pt idx="8">
                  <c:v>Pensión por Sobrevivencia Padr/Madre</c:v>
                </c:pt>
                <c:pt idx="9">
                  <c:v>Reajuste de Pensión</c:v>
                </c:pt>
                <c:pt idx="10">
                  <c:v>Reactivación</c:v>
                </c:pt>
                <c:pt idx="11">
                  <c:v>Reembolso</c:v>
                </c:pt>
                <c:pt idx="12">
                  <c:v>Registro de Poder</c:v>
                </c:pt>
                <c:pt idx="13">
                  <c:v>Reinclusión</c:v>
                </c:pt>
                <c:pt idx="14">
                  <c:v>Retroactivo</c:v>
                </c:pt>
                <c:pt idx="15">
                  <c:v>Solicitud Inclusión a Nómina</c:v>
                </c:pt>
                <c:pt idx="16">
                  <c:v>Solicitud de Pensión</c:v>
                </c:pt>
                <c:pt idx="17">
                  <c:v>Suspensión Descuento 2%</c:v>
                </c:pt>
                <c:pt idx="18">
                  <c:v>Suspensión por Laborar Nuevamente en el Estado</c:v>
                </c:pt>
              </c:strCache>
            </c:strRef>
          </c:cat>
          <c:val>
            <c:numRef>
              <c:f>Servicios!$X$11:$X$29</c:f>
              <c:numCache>
                <c:formatCode>#,##0</c:formatCode>
                <c:ptCount val="19"/>
                <c:pt idx="0">
                  <c:v>172</c:v>
                </c:pt>
                <c:pt idx="1">
                  <c:v>8355</c:v>
                </c:pt>
                <c:pt idx="2">
                  <c:v>662</c:v>
                </c:pt>
                <c:pt idx="3">
                  <c:v>10240</c:v>
                </c:pt>
                <c:pt idx="4">
                  <c:v>101</c:v>
                </c:pt>
                <c:pt idx="5">
                  <c:v>64</c:v>
                </c:pt>
                <c:pt idx="6">
                  <c:v>398</c:v>
                </c:pt>
                <c:pt idx="7">
                  <c:v>2</c:v>
                </c:pt>
                <c:pt idx="8">
                  <c:v>0</c:v>
                </c:pt>
                <c:pt idx="9">
                  <c:v>25</c:v>
                </c:pt>
                <c:pt idx="10">
                  <c:v>281</c:v>
                </c:pt>
                <c:pt idx="11">
                  <c:v>225</c:v>
                </c:pt>
                <c:pt idx="12">
                  <c:v>1108</c:v>
                </c:pt>
                <c:pt idx="13">
                  <c:v>9</c:v>
                </c:pt>
                <c:pt idx="14">
                  <c:v>286</c:v>
                </c:pt>
                <c:pt idx="15">
                  <c:v>2043</c:v>
                </c:pt>
                <c:pt idx="16">
                  <c:v>759</c:v>
                </c:pt>
                <c:pt idx="17">
                  <c:v>101</c:v>
                </c:pt>
                <c:pt idx="1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C-45A1-A6C8-669D4A3C48EA}"/>
            </c:ext>
          </c:extLst>
        </c:ser>
        <c:ser>
          <c:idx val="22"/>
          <c:order val="1"/>
          <c:tx>
            <c:strRef>
              <c:f>Servicios!$Y$10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Servicios!$B$11:$B$29</c:f>
              <c:strCache>
                <c:ptCount val="19"/>
                <c:pt idx="0">
                  <c:v>Aplicación Descuento 2%</c:v>
                </c:pt>
                <c:pt idx="1">
                  <c:v>Certificación </c:v>
                </c:pt>
                <c:pt idx="2">
                  <c:v>Exclusiones</c:v>
                </c:pt>
                <c:pt idx="3">
                  <c:v>Modificación de Datos</c:v>
                </c:pt>
                <c:pt idx="4">
                  <c:v>Modificación de Datos Críticos</c:v>
                </c:pt>
                <c:pt idx="5">
                  <c:v>Pensión por Sobrevivencia Concubinato</c:v>
                </c:pt>
                <c:pt idx="6">
                  <c:v>Pensión por Sobrevivencia Conyuge</c:v>
                </c:pt>
                <c:pt idx="7">
                  <c:v>Pensión por Sobrevivencia Menor</c:v>
                </c:pt>
                <c:pt idx="8">
                  <c:v>Pensión por Sobrevivencia Padr/Madre</c:v>
                </c:pt>
                <c:pt idx="9">
                  <c:v>Reajuste de Pensión</c:v>
                </c:pt>
                <c:pt idx="10">
                  <c:v>Reactivación</c:v>
                </c:pt>
                <c:pt idx="11">
                  <c:v>Reembolso</c:v>
                </c:pt>
                <c:pt idx="12">
                  <c:v>Registro de Poder</c:v>
                </c:pt>
                <c:pt idx="13">
                  <c:v>Reinclusión</c:v>
                </c:pt>
                <c:pt idx="14">
                  <c:v>Retroactivo</c:v>
                </c:pt>
                <c:pt idx="15">
                  <c:v>Solicitud Inclusión a Nómina</c:v>
                </c:pt>
                <c:pt idx="16">
                  <c:v>Solicitud de Pensión</c:v>
                </c:pt>
                <c:pt idx="17">
                  <c:v>Suspensión Descuento 2%</c:v>
                </c:pt>
                <c:pt idx="18">
                  <c:v>Suspensión por Laborar Nuevamente en el Estado</c:v>
                </c:pt>
              </c:strCache>
            </c:strRef>
          </c:cat>
          <c:val>
            <c:numRef>
              <c:f>Servicios!$Y$11:$Y$29</c:f>
              <c:numCache>
                <c:formatCode>#,##0</c:formatCode>
                <c:ptCount val="19"/>
                <c:pt idx="0">
                  <c:v>170</c:v>
                </c:pt>
                <c:pt idx="1">
                  <c:v>8355</c:v>
                </c:pt>
                <c:pt idx="2">
                  <c:v>624</c:v>
                </c:pt>
                <c:pt idx="3">
                  <c:v>10102</c:v>
                </c:pt>
                <c:pt idx="4">
                  <c:v>77</c:v>
                </c:pt>
                <c:pt idx="5">
                  <c:v>47</c:v>
                </c:pt>
                <c:pt idx="6">
                  <c:v>359</c:v>
                </c:pt>
                <c:pt idx="7">
                  <c:v>2</c:v>
                </c:pt>
                <c:pt idx="8">
                  <c:v>0</c:v>
                </c:pt>
                <c:pt idx="9">
                  <c:v>21</c:v>
                </c:pt>
                <c:pt idx="10">
                  <c:v>259</c:v>
                </c:pt>
                <c:pt idx="11">
                  <c:v>221</c:v>
                </c:pt>
                <c:pt idx="12">
                  <c:v>1037</c:v>
                </c:pt>
                <c:pt idx="13">
                  <c:v>9</c:v>
                </c:pt>
                <c:pt idx="14">
                  <c:v>256</c:v>
                </c:pt>
                <c:pt idx="15">
                  <c:v>1867</c:v>
                </c:pt>
                <c:pt idx="16">
                  <c:v>638</c:v>
                </c:pt>
                <c:pt idx="17">
                  <c:v>94</c:v>
                </c:pt>
                <c:pt idx="1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055248"/>
        <c:axId val="1672041104"/>
      </c:barChart>
      <c:lineChart>
        <c:grouping val="standard"/>
        <c:varyColors val="0"/>
        <c:ser>
          <c:idx val="23"/>
          <c:order val="2"/>
          <c:tx>
            <c:strRef>
              <c:f>Servicios!$Z$10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Servicios!$B$11:$B$29</c:f>
              <c:strCache>
                <c:ptCount val="19"/>
                <c:pt idx="0">
                  <c:v>Aplicación Descuento 2%</c:v>
                </c:pt>
                <c:pt idx="1">
                  <c:v>Certificación </c:v>
                </c:pt>
                <c:pt idx="2">
                  <c:v>Exclusiones</c:v>
                </c:pt>
                <c:pt idx="3">
                  <c:v>Modificación de Datos</c:v>
                </c:pt>
                <c:pt idx="4">
                  <c:v>Modificación de Datos Críticos</c:v>
                </c:pt>
                <c:pt idx="5">
                  <c:v>Pensión por Sobrevivencia Concubinato</c:v>
                </c:pt>
                <c:pt idx="6">
                  <c:v>Pensión por Sobrevivencia Conyuge</c:v>
                </c:pt>
                <c:pt idx="7">
                  <c:v>Pensión por Sobrevivencia Menor</c:v>
                </c:pt>
                <c:pt idx="8">
                  <c:v>Pensión por Sobrevivencia Padr/Madre</c:v>
                </c:pt>
                <c:pt idx="9">
                  <c:v>Reajuste de Pensión</c:v>
                </c:pt>
                <c:pt idx="10">
                  <c:v>Reactivación</c:v>
                </c:pt>
                <c:pt idx="11">
                  <c:v>Reembolso</c:v>
                </c:pt>
                <c:pt idx="12">
                  <c:v>Registro de Poder</c:v>
                </c:pt>
                <c:pt idx="13">
                  <c:v>Reinclusión</c:v>
                </c:pt>
                <c:pt idx="14">
                  <c:v>Retroactivo</c:v>
                </c:pt>
                <c:pt idx="15">
                  <c:v>Solicitud Inclusión a Nómina</c:v>
                </c:pt>
                <c:pt idx="16">
                  <c:v>Solicitud de Pensión</c:v>
                </c:pt>
                <c:pt idx="17">
                  <c:v>Suspensión Descuento 2%</c:v>
                </c:pt>
                <c:pt idx="18">
                  <c:v>Suspensión por Laborar Nuevamente en el Estado</c:v>
                </c:pt>
              </c:strCache>
            </c:strRef>
          </c:cat>
          <c:val>
            <c:numRef>
              <c:f>Servicios!$Z$11:$Z$29</c:f>
              <c:numCache>
                <c:formatCode>0%</c:formatCode>
                <c:ptCount val="19"/>
                <c:pt idx="0">
                  <c:v>0.98837209302325579</c:v>
                </c:pt>
                <c:pt idx="1">
                  <c:v>1</c:v>
                </c:pt>
                <c:pt idx="2">
                  <c:v>0.94259818731117828</c:v>
                </c:pt>
                <c:pt idx="3">
                  <c:v>0.98652343750000004</c:v>
                </c:pt>
                <c:pt idx="4">
                  <c:v>0.76237623762376239</c:v>
                </c:pt>
                <c:pt idx="5">
                  <c:v>0.734375</c:v>
                </c:pt>
                <c:pt idx="6">
                  <c:v>0.90201005025125625</c:v>
                </c:pt>
                <c:pt idx="7">
                  <c:v>1</c:v>
                </c:pt>
                <c:pt idx="8">
                  <c:v>0</c:v>
                </c:pt>
                <c:pt idx="9">
                  <c:v>0.84</c:v>
                </c:pt>
                <c:pt idx="10">
                  <c:v>0.92170818505338081</c:v>
                </c:pt>
                <c:pt idx="11">
                  <c:v>0.98222222222222222</c:v>
                </c:pt>
                <c:pt idx="12">
                  <c:v>0.9359205776173285</c:v>
                </c:pt>
                <c:pt idx="13">
                  <c:v>1</c:v>
                </c:pt>
                <c:pt idx="14">
                  <c:v>0.8951048951048951</c:v>
                </c:pt>
                <c:pt idx="15">
                  <c:v>0.91385217816935882</c:v>
                </c:pt>
                <c:pt idx="16">
                  <c:v>0.84057971014492749</c:v>
                </c:pt>
                <c:pt idx="17">
                  <c:v>0.93069306930693074</c:v>
                </c:pt>
                <c:pt idx="18">
                  <c:v>0.95652173913043481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042192"/>
        <c:axId val="1672041648"/>
      </c:lineChart>
      <c:catAx>
        <c:axId val="16720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1104"/>
        <c:crosses val="autoZero"/>
        <c:auto val="1"/>
        <c:lblAlgn val="ctr"/>
        <c:lblOffset val="100"/>
        <c:noMultiLvlLbl val="0"/>
      </c:catAx>
      <c:valAx>
        <c:axId val="1672041104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672055248"/>
        <c:crosses val="autoZero"/>
        <c:crossBetween val="between"/>
      </c:valAx>
      <c:valAx>
        <c:axId val="16720416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72042192"/>
        <c:crosses val="max"/>
        <c:crossBetween val="between"/>
      </c:valAx>
      <c:catAx>
        <c:axId val="167204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1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Servicios!$X$10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Servicios!$B$38:$B$49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Servicios!$X$38:$X$49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172</c:v>
                </c:pt>
                <c:pt idx="2">
                  <c:v>50</c:v>
                </c:pt>
                <c:pt idx="3">
                  <c:v>385</c:v>
                </c:pt>
                <c:pt idx="4">
                  <c:v>2</c:v>
                </c:pt>
                <c:pt idx="5">
                  <c:v>0</c:v>
                </c:pt>
                <c:pt idx="6">
                  <c:v>270</c:v>
                </c:pt>
                <c:pt idx="7">
                  <c:v>222</c:v>
                </c:pt>
                <c:pt idx="8">
                  <c:v>9</c:v>
                </c:pt>
                <c:pt idx="9">
                  <c:v>267</c:v>
                </c:pt>
                <c:pt idx="10">
                  <c:v>1909</c:v>
                </c:pt>
                <c:pt idx="1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EA1-A621-3A7FC20B75EF}"/>
            </c:ext>
          </c:extLst>
        </c:ser>
        <c:ser>
          <c:idx val="22"/>
          <c:order val="1"/>
          <c:tx>
            <c:strRef>
              <c:f>Servicios!$Y$10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Servicios!$B$38:$B$49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Servicios!$Y$38:$Y$49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158</c:v>
                </c:pt>
                <c:pt idx="2">
                  <c:v>37</c:v>
                </c:pt>
                <c:pt idx="3">
                  <c:v>300</c:v>
                </c:pt>
                <c:pt idx="4">
                  <c:v>1</c:v>
                </c:pt>
                <c:pt idx="5">
                  <c:v>0</c:v>
                </c:pt>
                <c:pt idx="6">
                  <c:v>193</c:v>
                </c:pt>
                <c:pt idx="7">
                  <c:v>137</c:v>
                </c:pt>
                <c:pt idx="8">
                  <c:v>8</c:v>
                </c:pt>
                <c:pt idx="9">
                  <c:v>219</c:v>
                </c:pt>
                <c:pt idx="10">
                  <c:v>1166</c:v>
                </c:pt>
                <c:pt idx="1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043824"/>
        <c:axId val="1672044368"/>
      </c:barChart>
      <c:lineChart>
        <c:grouping val="standard"/>
        <c:varyColors val="0"/>
        <c:ser>
          <c:idx val="23"/>
          <c:order val="2"/>
          <c:tx>
            <c:strRef>
              <c:f>Servicios!$Z$10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Servicios!$B$38:$B$49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Servicios!$Z$38:$Z$49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0.91860465116279066</c:v>
                </c:pt>
                <c:pt idx="2">
                  <c:v>0.74</c:v>
                </c:pt>
                <c:pt idx="3">
                  <c:v>0.77922077922077926</c:v>
                </c:pt>
                <c:pt idx="4">
                  <c:v>0.5</c:v>
                </c:pt>
                <c:pt idx="5">
                  <c:v>0</c:v>
                </c:pt>
                <c:pt idx="6">
                  <c:v>0.71481481481481479</c:v>
                </c:pt>
                <c:pt idx="7">
                  <c:v>0.61711711711711714</c:v>
                </c:pt>
                <c:pt idx="8">
                  <c:v>0.88888888888888884</c:v>
                </c:pt>
                <c:pt idx="9">
                  <c:v>0.8202247191011236</c:v>
                </c:pt>
                <c:pt idx="10">
                  <c:v>0.6107909900471451</c:v>
                </c:pt>
                <c:pt idx="11">
                  <c:v>0.90721649484536082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377216"/>
        <c:axId val="1672046544"/>
      </c:lineChart>
      <c:catAx>
        <c:axId val="167204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4368"/>
        <c:crosses val="autoZero"/>
        <c:auto val="1"/>
        <c:lblAlgn val="ctr"/>
        <c:lblOffset val="100"/>
        <c:noMultiLvlLbl val="0"/>
      </c:catAx>
      <c:valAx>
        <c:axId val="1672044368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672043824"/>
        <c:crosses val="autoZero"/>
        <c:crossBetween val="between"/>
      </c:valAx>
      <c:valAx>
        <c:axId val="1672046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672377216"/>
        <c:crosses val="max"/>
        <c:crossBetween val="between"/>
      </c:valAx>
      <c:catAx>
        <c:axId val="167237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6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0E-4F43-9E46-5A2A7118901E}"/>
                </c:ext>
              </c:extLst>
            </c:dLbl>
            <c:dLbl>
              <c:idx val="1"/>
              <c:layout>
                <c:manualLayout>
                  <c:x val="2.5816702227310574E-3"/>
                  <c:y val="0.47233406426224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0E-4F43-9E46-5A2A7118901E}"/>
                </c:ext>
              </c:extLst>
            </c:dLbl>
            <c:dLbl>
              <c:idx val="2"/>
              <c:layout>
                <c:manualLayout>
                  <c:x val="-5.1633404454622094E-3"/>
                  <c:y val="0.4781602658434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0E-4F43-9E46-5A2A71189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94236</c:v>
                </c:pt>
                <c:pt idx="1">
                  <c:v>94374</c:v>
                </c:pt>
                <c:pt idx="2">
                  <c:v>94222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0E-4F43-9E46-5A2A7118901E}"/>
            </c:ext>
          </c:extLst>
        </c:ser>
        <c:ser>
          <c:idx val="1"/>
          <c:order val="1"/>
          <c:tx>
            <c:v>No Cotizantes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633404454621149E-3"/>
                  <c:y val="0.39397900754344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0E-4F43-9E46-5A2A7118901E}"/>
                </c:ext>
              </c:extLst>
            </c:dLbl>
            <c:dLbl>
              <c:idx val="1"/>
              <c:layout>
                <c:manualLayout>
                  <c:x val="2.5816702227310574E-3"/>
                  <c:y val="0.39403018411963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0E-4F43-9E46-5A2A7118901E}"/>
                </c:ext>
              </c:extLst>
            </c:dLbl>
            <c:dLbl>
              <c:idx val="2"/>
              <c:layout>
                <c:manualLayout>
                  <c:x val="-2.5816702227310574E-3"/>
                  <c:y val="0.39379964773681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0E-4F43-9E46-5A2A71189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Cotizantes'!$E$7:$E$9</c:f>
              <c:numCache>
                <c:formatCode>#,##0</c:formatCode>
                <c:ptCount val="3"/>
                <c:pt idx="0">
                  <c:v>62852</c:v>
                </c:pt>
                <c:pt idx="1">
                  <c:v>62725</c:v>
                </c:pt>
                <c:pt idx="2">
                  <c:v>60964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0E-4F43-9E46-5A2A71189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70560"/>
        <c:axId val="1667758048"/>
      </c:barChart>
      <c:lineChart>
        <c:grouping val="standard"/>
        <c:varyColors val="0"/>
        <c:ser>
          <c:idx val="2"/>
          <c:order val="2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450106681931728E-3"/>
                  <c:y val="-0.12161646370644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0E-4F43-9E46-5A2A7118901E}"/>
                </c:ext>
              </c:extLst>
            </c:dLbl>
            <c:dLbl>
              <c:idx val="1"/>
              <c:layout>
                <c:manualLayout>
                  <c:x val="-6.9705096013738546E-2"/>
                  <c:y val="-0.13684262931678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0E-4F43-9E46-5A2A7118901E}"/>
                </c:ext>
              </c:extLst>
            </c:dLbl>
            <c:dLbl>
              <c:idx val="2"/>
              <c:layout>
                <c:manualLayout>
                  <c:x val="-4.3888393786427976E-2"/>
                  <c:y val="-0.10299960998457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B0-450A-9E85-956BCBE613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'Afiliados y Cotizantes'!$F$7:$F$9</c:f>
              <c:numCache>
                <c:formatCode>0%</c:formatCode>
                <c:ptCount val="3"/>
                <c:pt idx="0">
                  <c:v>0.66696379303026443</c:v>
                </c:pt>
                <c:pt idx="1">
                  <c:v>0.66464280416216326</c:v>
                </c:pt>
                <c:pt idx="2">
                  <c:v>0.64702511090828041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40E-4F43-9E46-5A2A71189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6752"/>
        <c:axId val="1667762944"/>
      </c:lineChart>
      <c:catAx>
        <c:axId val="16677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58048"/>
        <c:crosses val="autoZero"/>
        <c:auto val="1"/>
        <c:lblAlgn val="ctr"/>
        <c:lblOffset val="100"/>
        <c:noMultiLvlLbl val="0"/>
      </c:catAx>
      <c:valAx>
        <c:axId val="16677580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70560"/>
        <c:crosses val="autoZero"/>
        <c:crossBetween val="between"/>
      </c:valAx>
      <c:valAx>
        <c:axId val="1667762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6752"/>
        <c:crosses val="max"/>
        <c:crossBetween val="between"/>
      </c:valAx>
      <c:catAx>
        <c:axId val="166776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29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5258870374947961"/>
          <c:y val="0.85712440398047529"/>
          <c:w val="0.72580263517381349"/>
          <c:h val="0.1030026691089768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800">
                <a:solidFill>
                  <a:schemeClr val="accent1"/>
                </a:solidFill>
              </a:rPr>
              <a:t>Porcentaje de cotizantes</a:t>
            </a:r>
            <a:r>
              <a:rPr lang="es-ES" sz="800" baseline="0">
                <a:solidFill>
                  <a:schemeClr val="accent1"/>
                </a:solidFill>
              </a:rPr>
              <a:t> y No cotizantes</a:t>
            </a:r>
            <a:endParaRPr lang="es-ES" sz="8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484-42B2-80EC-06380EF794C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484-42B2-80EC-06380EF794C9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4-42B2-80EC-06380EF794C9}"/>
                </c:ext>
              </c:extLst>
            </c:dLbl>
            <c:dLbl>
              <c:idx val="1"/>
              <c:layout>
                <c:manualLayout>
                  <c:x val="0.21927088801399824"/>
                  <c:y val="-0.226812117235345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95822397200349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484-42B2-80EC-06380EF79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('Afiliados y Cotizantes'!$D$6,'Afiliados y Cotizantes'!$F$6)</c:f>
              <c:strCache>
                <c:ptCount val="2"/>
                <c:pt idx="0">
                  <c:v>% Cotizantes</c:v>
                </c:pt>
                <c:pt idx="1">
                  <c:v>% No Cotizantes</c:v>
                </c:pt>
              </c:strCache>
            </c:strRef>
          </c:cat>
          <c:val>
            <c:numRef>
              <c:f>('Afiliados y Cotizantes'!$D$10,'Afiliados y Cotizantes'!$F$10)</c:f>
              <c:numCache>
                <c:formatCode>0%</c:formatCode>
                <c:ptCount val="2"/>
                <c:pt idx="0">
                  <c:v>0.34045298976070604</c:v>
                </c:pt>
                <c:pt idx="1">
                  <c:v>0.65954701023929407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4-42B2-80EC-06380EF794C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 sz="1000">
                <a:solidFill>
                  <a:schemeClr val="accent1"/>
                </a:solidFill>
              </a:rPr>
              <a:t>Cantidad</a:t>
            </a:r>
            <a:r>
              <a:rPr lang="es-ES" sz="1000" baseline="0">
                <a:solidFill>
                  <a:schemeClr val="accent1"/>
                </a:solidFill>
              </a:rPr>
              <a:t> de cotizantes por tipo </a:t>
            </a: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es-ES" sz="1000" baseline="0">
                <a:solidFill>
                  <a:schemeClr val="accent1"/>
                </a:solidFill>
              </a:rPr>
              <a:t>de empleador</a:t>
            </a:r>
            <a:endParaRPr lang="es-ES" sz="10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31397542344881213"/>
          <c:y val="1.08857738701297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28018372703412"/>
          <c:y val="3.5109750841474434E-2"/>
          <c:w val="0.6891789151356080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Cotizantes!$B$7</c:f>
              <c:strCache>
                <c:ptCount val="1"/>
                <c:pt idx="0">
                  <c:v>Público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0361414853994E-3"/>
                  <c:y val="0.173496156744214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C0-431D-A784-ADE8732008D2}"/>
                </c:ext>
              </c:extLst>
            </c:dLbl>
            <c:dLbl>
              <c:idx val="1"/>
              <c:layout>
                <c:manualLayout>
                  <c:x val="-2.7770361414853994E-3"/>
                  <c:y val="0.23313546062503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C0-431D-A784-ADE8732008D2}"/>
                </c:ext>
              </c:extLst>
            </c:dLbl>
            <c:dLbl>
              <c:idx val="2"/>
              <c:layout>
                <c:manualLayout>
                  <c:x val="2.7770361414853994E-3"/>
                  <c:y val="0.22229195082852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C0-431D-A784-ADE873200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Cotizantes!$B$8:$B$10</c:f>
              <c:numCache>
                <c:formatCode>#,##0</c:formatCode>
                <c:ptCount val="3"/>
                <c:pt idx="0">
                  <c:v>25422</c:v>
                </c:pt>
                <c:pt idx="1">
                  <c:v>25636</c:v>
                </c:pt>
                <c:pt idx="2">
                  <c:v>26939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B-4152-BDE9-0C66FFE1287D}"/>
            </c:ext>
          </c:extLst>
        </c:ser>
        <c:ser>
          <c:idx val="1"/>
          <c:order val="1"/>
          <c:tx>
            <c:strRef>
              <c:f>Cotizantes!$C$7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Cotizantes!$C$8:$C$10</c:f>
              <c:numCache>
                <c:formatCode>#,##0</c:formatCode>
                <c:ptCount val="3"/>
                <c:pt idx="0">
                  <c:v>5962</c:v>
                </c:pt>
                <c:pt idx="1">
                  <c:v>6013</c:v>
                </c:pt>
                <c:pt idx="2">
                  <c:v>6319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B-4152-BDE9-0C66FFE1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3488"/>
        <c:axId val="1667764032"/>
      </c:barChart>
      <c:catAx>
        <c:axId val="16677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4032"/>
        <c:crosses val="autoZero"/>
        <c:auto val="1"/>
        <c:lblAlgn val="ctr"/>
        <c:lblOffset val="100"/>
        <c:noMultiLvlLbl val="0"/>
      </c:catAx>
      <c:valAx>
        <c:axId val="166776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677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2576552930884"/>
          <c:y val="0.41853966170895307"/>
          <c:w val="0.14242979002624673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800">
                <a:solidFill>
                  <a:schemeClr val="accent1"/>
                </a:solidFill>
              </a:rPr>
              <a:t>Porcentaje</a:t>
            </a:r>
            <a:r>
              <a:rPr lang="es-ES" sz="800" baseline="0">
                <a:solidFill>
                  <a:schemeClr val="accent1"/>
                </a:solidFill>
              </a:rPr>
              <a:t> Cotizantes por Tipo de Empleador</a:t>
            </a:r>
            <a:endParaRPr lang="es-ES" sz="8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C0-4626-8946-C199BABBAAC4}"/>
              </c:ext>
            </c:extLst>
          </c:dPt>
          <c:dPt>
            <c:idx val="1"/>
            <c:bubble3D val="0"/>
            <c:explosion val="3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FC0-4626-8946-C199BABBAAC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E83FA5F-D0AB-48CE-96D6-99FDB27CB41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20B6CD3-A00D-42C3-9725-57F7CEEDB32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C0-4626-8946-C199BABBAAC4}"/>
                </c:ext>
              </c:extLst>
            </c:dLbl>
            <c:dLbl>
              <c:idx val="1"/>
              <c:layout>
                <c:manualLayout>
                  <c:x val="0.11663649561069367"/>
                  <c:y val="0.110844708400903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0-4626-8946-C199BABBA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Cotizantes!$E$7:$F$7</c:f>
              <c:strCache>
                <c:ptCount val="2"/>
                <c:pt idx="0">
                  <c:v>% Público</c:v>
                </c:pt>
                <c:pt idx="1">
                  <c:v>% Privado</c:v>
                </c:pt>
              </c:strCache>
            </c:strRef>
          </c:cat>
          <c:val>
            <c:numRef>
              <c:f>Cotizantes!$E$11:$F$11</c:f>
              <c:numCache>
                <c:formatCode>0%</c:formatCode>
                <c:ptCount val="2"/>
                <c:pt idx="0">
                  <c:v>0.8100136617107917</c:v>
                </c:pt>
                <c:pt idx="1">
                  <c:v>0.18998633828920819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0-4626-8946-C199BABB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Empleador!$B$7</c:f>
              <c:strCache>
                <c:ptCount val="1"/>
                <c:pt idx="0">
                  <c:v>Público (RD$)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Empleador!$B$8:$B$10</c:f>
              <c:numCache>
                <c:formatCode>#,##0</c:formatCode>
                <c:ptCount val="3"/>
                <c:pt idx="0">
                  <c:v>95868987</c:v>
                </c:pt>
                <c:pt idx="1">
                  <c:v>105181100</c:v>
                </c:pt>
                <c:pt idx="2">
                  <c:v>95313166.099999994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4-4074-BEFF-2DE0A00E38F1}"/>
            </c:ext>
          </c:extLst>
        </c:ser>
        <c:ser>
          <c:idx val="1"/>
          <c:order val="1"/>
          <c:tx>
            <c:strRef>
              <c:f>Empleador!$C$7</c:f>
              <c:strCache>
                <c:ptCount val="1"/>
                <c:pt idx="0">
                  <c:v>Privado (RD$)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2076686487180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38-4061-9CFB-E05ABCE275A3}"/>
                </c:ext>
              </c:extLst>
            </c:dLbl>
            <c:dLbl>
              <c:idx val="1"/>
              <c:layout>
                <c:manualLayout>
                  <c:x val="3.8491316270104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38-4061-9CFB-E05ABCE275A3}"/>
                </c:ext>
              </c:extLst>
            </c:dLbl>
            <c:dLbl>
              <c:idx val="2"/>
              <c:layout>
                <c:manualLayout>
                  <c:x val="2.88817530996714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B-423A-9D8D-AF7B1DB20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</c:v>
                </c:pt>
              </c:strCache>
            </c:strRef>
          </c:cat>
          <c:val>
            <c:numRef>
              <c:f>Empleador!$C$8:$C$10</c:f>
              <c:numCache>
                <c:formatCode>#,##0</c:formatCode>
                <c:ptCount val="3"/>
                <c:pt idx="0">
                  <c:v>13775377</c:v>
                </c:pt>
                <c:pt idx="1">
                  <c:v>12999911.300000001</c:v>
                </c:pt>
                <c:pt idx="2">
                  <c:v>14242197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4-4074-BEFF-2DE0A00E38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57504"/>
        <c:axId val="1667761312"/>
      </c:barChart>
      <c:catAx>
        <c:axId val="166775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1312"/>
        <c:crosses val="autoZero"/>
        <c:auto val="1"/>
        <c:lblAlgn val="ctr"/>
        <c:lblOffset val="100"/>
        <c:noMultiLvlLbl val="0"/>
      </c:catAx>
      <c:valAx>
        <c:axId val="16677613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5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2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accent1"/>
                </a:solidFill>
              </a:rPr>
              <a:t>Porcentaje Monto Total</a:t>
            </a:r>
            <a:r>
              <a:rPr lang="en-US" sz="900" b="1" baseline="0">
                <a:solidFill>
                  <a:schemeClr val="accent1"/>
                </a:solidFill>
              </a:rPr>
              <a:t> Individualizado por Tipo de Empleador</a:t>
            </a:r>
            <a:endParaRPr lang="en-US" sz="900" b="1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2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7F0-4060-96BC-C2830A8E27F4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7F0-4060-96BC-C2830A8E27F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1E0124BD-4345-4E4A-B14D-12CA58C6987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F0-4060-96BC-C2830A8E27F4}"/>
                </c:ext>
              </c:extLst>
            </c:dLbl>
            <c:dLbl>
              <c:idx val="1"/>
              <c:layout>
                <c:manualLayout>
                  <c:x val="7.4119001557259923E-2"/>
                  <c:y val="0.1287873218774547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9808AA45-761B-4E95-9508-60574774486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F0-4060-96BC-C2830A8E2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Empleador!$B$7:$C$7</c:f>
              <c:strCache>
                <c:ptCount val="2"/>
                <c:pt idx="0">
                  <c:v>Público (RD$)</c:v>
                </c:pt>
                <c:pt idx="1">
                  <c:v>Privado (RD$)</c:v>
                </c:pt>
              </c:strCache>
            </c:strRef>
          </c:cat>
          <c:val>
            <c:numRef>
              <c:f>Empleador!$B$25:$C$25</c:f>
              <c:numCache>
                <c:formatCode>0%</c:formatCode>
                <c:ptCount val="2"/>
                <c:pt idx="0">
                  <c:v>0.87842374910161747</c:v>
                </c:pt>
                <c:pt idx="1">
                  <c:v>0.12157625089838264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F0-4060-96BC-C2830A8E27F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1.png"/><Relationship Id="rId1" Type="http://schemas.openxmlformats.org/officeDocument/2006/relationships/chart" Target="../charts/chart17.xm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2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644770</xdr:colOff>
      <xdr:row>28</xdr:row>
      <xdr:rowOff>80596</xdr:rowOff>
    </xdr:from>
    <xdr:to>
      <xdr:col>5</xdr:col>
      <xdr:colOff>223472</xdr:colOff>
      <xdr:row>44</xdr:row>
      <xdr:rowOff>139212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293585</xdr:colOff>
      <xdr:row>1</xdr:row>
      <xdr:rowOff>43961</xdr:rowOff>
    </xdr:from>
    <xdr:to>
      <xdr:col>1</xdr:col>
      <xdr:colOff>352391</xdr:colOff>
      <xdr:row>4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585" y="234461"/>
          <a:ext cx="850114" cy="534866"/>
        </a:xfrm>
        <a:prstGeom prst="rect">
          <a:avLst/>
        </a:prstGeom>
      </xdr:spPr>
    </xdr:pic>
    <xdr:clientData/>
  </xdr:twoCellAnchor>
  <xdr:twoCellAnchor editAs="oneCell">
    <xdr:from>
      <xdr:col>3</xdr:col>
      <xdr:colOff>581756</xdr:colOff>
      <xdr:row>1</xdr:row>
      <xdr:rowOff>22900</xdr:rowOff>
    </xdr:from>
    <xdr:to>
      <xdr:col>6</xdr:col>
      <xdr:colOff>424961</xdr:colOff>
      <xdr:row>4</xdr:row>
      <xdr:rowOff>9338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9352" y="213400"/>
          <a:ext cx="2246436" cy="5579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286533</xdr:colOff>
      <xdr:row>31</xdr:row>
      <xdr:rowOff>81370</xdr:rowOff>
    </xdr:from>
    <xdr:to>
      <xdr:col>6</xdr:col>
      <xdr:colOff>830385</xdr:colOff>
      <xdr:row>50</xdr:row>
      <xdr:rowOff>174624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301325</xdr:colOff>
      <xdr:row>1</xdr:row>
      <xdr:rowOff>109903</xdr:rowOff>
    </xdr:from>
    <xdr:to>
      <xdr:col>1</xdr:col>
      <xdr:colOff>329514</xdr:colOff>
      <xdr:row>4</xdr:row>
      <xdr:rowOff>58615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25" y="300403"/>
          <a:ext cx="826824" cy="520212"/>
        </a:xfrm>
        <a:prstGeom prst="rect">
          <a:avLst/>
        </a:prstGeom>
      </xdr:spPr>
    </xdr:pic>
    <xdr:clientData/>
  </xdr:twoCellAnchor>
  <xdr:twoCellAnchor editAs="oneCell">
    <xdr:from>
      <xdr:col>5</xdr:col>
      <xdr:colOff>696058</xdr:colOff>
      <xdr:row>1</xdr:row>
      <xdr:rowOff>7326</xdr:rowOff>
    </xdr:from>
    <xdr:to>
      <xdr:col>8</xdr:col>
      <xdr:colOff>407379</xdr:colOff>
      <xdr:row>3</xdr:row>
      <xdr:rowOff>184264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077" y="197826"/>
          <a:ext cx="2246436" cy="5579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67407</xdr:colOff>
      <xdr:row>23</xdr:row>
      <xdr:rowOff>67897</xdr:rowOff>
    </xdr:from>
    <xdr:to>
      <xdr:col>26</xdr:col>
      <xdr:colOff>694836</xdr:colOff>
      <xdr:row>38</xdr:row>
      <xdr:rowOff>144097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143531</xdr:colOff>
      <xdr:row>29</xdr:row>
      <xdr:rowOff>99393</xdr:rowOff>
    </xdr:from>
    <xdr:to>
      <xdr:col>6</xdr:col>
      <xdr:colOff>8282</xdr:colOff>
      <xdr:row>41</xdr:row>
      <xdr:rowOff>124239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603250</xdr:colOff>
      <xdr:row>43</xdr:row>
      <xdr:rowOff>51661</xdr:rowOff>
    </xdr:from>
    <xdr:to>
      <xdr:col>9</xdr:col>
      <xdr:colOff>901722</xdr:colOff>
      <xdr:row>54</xdr:row>
      <xdr:rowOff>164962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475251</xdr:colOff>
      <xdr:row>30</xdr:row>
      <xdr:rowOff>43841</xdr:rowOff>
    </xdr:from>
    <xdr:to>
      <xdr:col>12</xdr:col>
      <xdr:colOff>483534</xdr:colOff>
      <xdr:row>42</xdr:row>
      <xdr:rowOff>56265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269184</xdr:colOff>
      <xdr:row>42</xdr:row>
      <xdr:rowOff>65464</xdr:rowOff>
    </xdr:from>
    <xdr:to>
      <xdr:col>7</xdr:col>
      <xdr:colOff>363937</xdr:colOff>
      <xdr:row>43</xdr:row>
      <xdr:rowOff>84514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4920559" y="5335964"/>
          <a:ext cx="967878" cy="209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6</xdr:col>
      <xdr:colOff>542299</xdr:colOff>
      <xdr:row>29</xdr:row>
      <xdr:rowOff>4141</xdr:rowOff>
    </xdr:from>
    <xdr:to>
      <xdr:col>12</xdr:col>
      <xdr:colOff>324932</xdr:colOff>
      <xdr:row>29</xdr:row>
      <xdr:rowOff>58353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7681908" y="2994163"/>
          <a:ext cx="2060350" cy="542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Monto</a:t>
          </a:r>
        </a:p>
      </xdr:txBody>
    </xdr:sp>
    <xdr:clientData/>
  </xdr:twoCellAnchor>
  <xdr:twoCellAnchor editAs="oneCell">
    <xdr:from>
      <xdr:col>2</xdr:col>
      <xdr:colOff>446942</xdr:colOff>
      <xdr:row>1</xdr:row>
      <xdr:rowOff>36635</xdr:rowOff>
    </xdr:from>
    <xdr:to>
      <xdr:col>3</xdr:col>
      <xdr:colOff>667472</xdr:colOff>
      <xdr:row>4</xdr:row>
      <xdr:rowOff>87923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54115" y="227135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140805</xdr:colOff>
      <xdr:row>0</xdr:row>
      <xdr:rowOff>124240</xdr:rowOff>
    </xdr:from>
    <xdr:to>
      <xdr:col>12</xdr:col>
      <xdr:colOff>34979</xdr:colOff>
      <xdr:row>3</xdr:row>
      <xdr:rowOff>110678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0" y="124240"/>
          <a:ext cx="2246436" cy="557938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0.30281</cdr:x>
      <cdr:y>0</cdr:y>
    </cdr:from>
    <cdr:to>
      <cdr:x>0.71115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31919" y="0"/>
          <a:ext cx="2200646" cy="253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Pensionados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479999</xdr:colOff>
      <xdr:row>26</xdr:row>
      <xdr:rowOff>130663</xdr:rowOff>
    </xdr:from>
    <xdr:to>
      <xdr:col>12</xdr:col>
      <xdr:colOff>720444</xdr:colOff>
      <xdr:row>38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674077</xdr:colOff>
      <xdr:row>2</xdr:row>
      <xdr:rowOff>0</xdr:rowOff>
    </xdr:from>
    <xdr:to>
      <xdr:col>3</xdr:col>
      <xdr:colOff>770050</xdr:colOff>
      <xdr:row>5</xdr:row>
      <xdr:rowOff>51288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077" y="381000"/>
          <a:ext cx="989857" cy="6227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158750</xdr:rowOff>
    </xdr:from>
    <xdr:to>
      <xdr:col>6</xdr:col>
      <xdr:colOff>240444</xdr:colOff>
      <xdr:row>39</xdr:row>
      <xdr:rowOff>28087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865187</xdr:colOff>
      <xdr:row>1</xdr:row>
      <xdr:rowOff>119062</xdr:rowOff>
    </xdr:from>
    <xdr:to>
      <xdr:col>9</xdr:col>
      <xdr:colOff>420811</xdr:colOff>
      <xdr:row>4</xdr:row>
      <xdr:rowOff>105500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5" y="309562"/>
          <a:ext cx="2246436" cy="5579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828261</xdr:colOff>
      <xdr:row>0</xdr:row>
      <xdr:rowOff>147138</xdr:rowOff>
    </xdr:from>
    <xdr:to>
      <xdr:col>21</xdr:col>
      <xdr:colOff>623044</xdr:colOff>
      <xdr:row>3</xdr:row>
      <xdr:rowOff>133576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2437" y="147138"/>
          <a:ext cx="2237666" cy="557938"/>
        </a:xfrm>
        <a:prstGeom prst="rect">
          <a:avLst/>
        </a:prstGeom>
      </xdr:spPr>
    </xdr:pic>
    <xdr:clientData/>
  </xdr:twoCellAnchor>
  <xdr:oneCellAnchor>
    <xdr:from>
      <xdr:col>1</xdr:col>
      <xdr:colOff>198783</xdr:colOff>
      <xdr:row>0</xdr:row>
      <xdr:rowOff>82827</xdr:rowOff>
    </xdr:from>
    <xdr:ext cx="989857" cy="622788"/>
    <xdr:pic>
      <xdr:nvPicPr>
        <xdr:cNvPr id="12" name="Picture 9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3892" y="82827"/>
          <a:ext cx="989857" cy="622788"/>
        </a:xfrm>
        <a:prstGeom prst="rect">
          <a:avLst/>
        </a:prstGeom>
      </xdr:spPr>
    </xdr:pic>
    <xdr:clientData/>
  </xdr:oneCellAnchor>
  <xdr:twoCellAnchor>
    <xdr:from>
      <xdr:col>17</xdr:col>
      <xdr:colOff>344348</xdr:colOff>
      <xdr:row>4</xdr:row>
      <xdr:rowOff>63859</xdr:rowOff>
    </xdr:from>
    <xdr:to>
      <xdr:col>23</xdr:col>
      <xdr:colOff>178696</xdr:colOff>
      <xdr:row>17</xdr:row>
      <xdr:rowOff>121398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463826</xdr:colOff>
      <xdr:row>4</xdr:row>
      <xdr:rowOff>99390</xdr:rowOff>
    </xdr:from>
    <xdr:to>
      <xdr:col>29</xdr:col>
      <xdr:colOff>463826</xdr:colOff>
      <xdr:row>17</xdr:row>
      <xdr:rowOff>150742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91109</xdr:colOff>
      <xdr:row>30</xdr:row>
      <xdr:rowOff>66261</xdr:rowOff>
    </xdr:from>
    <xdr:to>
      <xdr:col>22</xdr:col>
      <xdr:colOff>687457</xdr:colOff>
      <xdr:row>44</xdr:row>
      <xdr:rowOff>142461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190498</xdr:colOff>
      <xdr:row>31</xdr:row>
      <xdr:rowOff>33129</xdr:rowOff>
    </xdr:from>
    <xdr:to>
      <xdr:col>29</xdr:col>
      <xdr:colOff>190498</xdr:colOff>
      <xdr:row>45</xdr:row>
      <xdr:rowOff>101046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447261</xdr:colOff>
      <xdr:row>49</xdr:row>
      <xdr:rowOff>124239</xdr:rowOff>
    </xdr:from>
    <xdr:to>
      <xdr:col>23</xdr:col>
      <xdr:colOff>281609</xdr:colOff>
      <xdr:row>63</xdr:row>
      <xdr:rowOff>159026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568542</xdr:colOff>
      <xdr:row>49</xdr:row>
      <xdr:rowOff>121873</xdr:rowOff>
    </xdr:from>
    <xdr:to>
      <xdr:col>29</xdr:col>
      <xdr:colOff>568542</xdr:colOff>
      <xdr:row>63</xdr:row>
      <xdr:rowOff>156660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25</xdr:col>
      <xdr:colOff>358589</xdr:colOff>
      <xdr:row>0</xdr:row>
      <xdr:rowOff>145676</xdr:rowOff>
    </xdr:from>
    <xdr:to>
      <xdr:col>28</xdr:col>
      <xdr:colOff>310255</xdr:colOff>
      <xdr:row>3</xdr:row>
      <xdr:rowOff>132114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B8825771-E97A-4C02-BE46-B46CB479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3648" y="145676"/>
          <a:ext cx="2237666" cy="5579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109904</xdr:colOff>
      <xdr:row>1</xdr:row>
      <xdr:rowOff>73270</xdr:rowOff>
    </xdr:from>
    <xdr:to>
      <xdr:col>4</xdr:col>
      <xdr:colOff>520935</xdr:colOff>
      <xdr:row>4</xdr:row>
      <xdr:rowOff>124558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289" y="263770"/>
          <a:ext cx="989857" cy="622788"/>
        </a:xfrm>
        <a:prstGeom prst="rect">
          <a:avLst/>
        </a:prstGeom>
      </xdr:spPr>
    </xdr:pic>
    <xdr:clientData/>
  </xdr:twoCellAnchor>
  <xdr:twoCellAnchor>
    <xdr:from>
      <xdr:col>4</xdr:col>
      <xdr:colOff>258669</xdr:colOff>
      <xdr:row>28</xdr:row>
      <xdr:rowOff>135591</xdr:rowOff>
    </xdr:from>
    <xdr:to>
      <xdr:col>9</xdr:col>
      <xdr:colOff>352425</xdr:colOff>
      <xdr:row>44</xdr:row>
      <xdr:rowOff>66674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476250</xdr:colOff>
      <xdr:row>1</xdr:row>
      <xdr:rowOff>38100</xdr:rowOff>
    </xdr:from>
    <xdr:to>
      <xdr:col>14</xdr:col>
      <xdr:colOff>474786</xdr:colOff>
      <xdr:row>4</xdr:row>
      <xdr:rowOff>24538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228600"/>
          <a:ext cx="2246436" cy="5579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100954</xdr:colOff>
      <xdr:row>30</xdr:row>
      <xdr:rowOff>171253</xdr:rowOff>
    </xdr:from>
    <xdr:to>
      <xdr:col>10</xdr:col>
      <xdr:colOff>282832</xdr:colOff>
      <xdr:row>42</xdr:row>
      <xdr:rowOff>162101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622962</xdr:colOff>
      <xdr:row>29</xdr:row>
      <xdr:rowOff>146415</xdr:rowOff>
    </xdr:from>
    <xdr:to>
      <xdr:col>9</xdr:col>
      <xdr:colOff>361356</xdr:colOff>
      <xdr:row>31</xdr:row>
      <xdr:rowOff>29184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384962" y="3257915"/>
          <a:ext cx="3738894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Pago de Retroactivos</a:t>
          </a:r>
        </a:p>
      </xdr:txBody>
    </xdr:sp>
    <xdr:clientData/>
  </xdr:twoCellAnchor>
  <xdr:twoCellAnchor editAs="oneCell">
    <xdr:from>
      <xdr:col>1</xdr:col>
      <xdr:colOff>718038</xdr:colOff>
      <xdr:row>1</xdr:row>
      <xdr:rowOff>65942</xdr:rowOff>
    </xdr:from>
    <xdr:to>
      <xdr:col>3</xdr:col>
      <xdr:colOff>255253</xdr:colOff>
      <xdr:row>4</xdr:row>
      <xdr:rowOff>117230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038" y="256442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223631</xdr:colOff>
      <xdr:row>0</xdr:row>
      <xdr:rowOff>157370</xdr:rowOff>
    </xdr:from>
    <xdr:to>
      <xdr:col>12</xdr:col>
      <xdr:colOff>104652</xdr:colOff>
      <xdr:row>3</xdr:row>
      <xdr:rowOff>143808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0718" y="157370"/>
          <a:ext cx="2246436" cy="5579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222738</xdr:colOff>
      <xdr:row>1</xdr:row>
      <xdr:rowOff>46892</xdr:rowOff>
    </xdr:from>
    <xdr:to>
      <xdr:col>2</xdr:col>
      <xdr:colOff>677730</xdr:colOff>
      <xdr:row>4</xdr:row>
      <xdr:rowOff>98180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738" y="237392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219808</xdr:colOff>
      <xdr:row>1</xdr:row>
      <xdr:rowOff>14654</xdr:rowOff>
    </xdr:from>
    <xdr:to>
      <xdr:col>9</xdr:col>
      <xdr:colOff>261573</xdr:colOff>
      <xdr:row>4</xdr:row>
      <xdr:rowOff>1092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233" y="205154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247650</xdr:colOff>
      <xdr:row>1</xdr:row>
      <xdr:rowOff>185737</xdr:rowOff>
    </xdr:from>
    <xdr:to>
      <xdr:col>14</xdr:col>
      <xdr:colOff>971550</xdr:colOff>
      <xdr:row>29</xdr:row>
      <xdr:rowOff>14287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498230</xdr:colOff>
      <xdr:row>2</xdr:row>
      <xdr:rowOff>109903</xdr:rowOff>
    </xdr:from>
    <xdr:to>
      <xdr:col>13</xdr:col>
      <xdr:colOff>747345</xdr:colOff>
      <xdr:row>3</xdr:row>
      <xdr:rowOff>183172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137530" y="490903"/>
          <a:ext cx="1792165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Créditos</a:t>
          </a:r>
          <a:r>
            <a:rPr lang="es-DO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 Rechazados</a:t>
          </a:r>
          <a:endParaRPr lang="es-DO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365613</xdr:colOff>
      <xdr:row>0</xdr:row>
      <xdr:rowOff>189767</xdr:rowOff>
    </xdr:from>
    <xdr:to>
      <xdr:col>2</xdr:col>
      <xdr:colOff>820605</xdr:colOff>
      <xdr:row>4</xdr:row>
      <xdr:rowOff>50555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13" y="189767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43962</xdr:rowOff>
    </xdr:from>
    <xdr:to>
      <xdr:col>8</xdr:col>
      <xdr:colOff>908540</xdr:colOff>
      <xdr:row>4</xdr:row>
      <xdr:rowOff>30400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34462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285750</xdr:colOff>
      <xdr:row>2</xdr:row>
      <xdr:rowOff>119062</xdr:rowOff>
    </xdr:from>
    <xdr:to>
      <xdr:col>14</xdr:col>
      <xdr:colOff>1009650</xdr:colOff>
      <xdr:row>28</xdr:row>
      <xdr:rowOff>138112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24668</xdr:colOff>
      <xdr:row>36</xdr:row>
      <xdr:rowOff>98668</xdr:rowOff>
    </xdr:from>
    <xdr:to>
      <xdr:col>5</xdr:col>
      <xdr:colOff>503603</xdr:colOff>
      <xdr:row>54</xdr:row>
      <xdr:rowOff>51288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373674</xdr:colOff>
      <xdr:row>1</xdr:row>
      <xdr:rowOff>87923</xdr:rowOff>
    </xdr:from>
    <xdr:ext cx="989857" cy="62278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674" y="7193573"/>
          <a:ext cx="989857" cy="622788"/>
        </a:xfrm>
        <a:prstGeom prst="rect">
          <a:avLst/>
        </a:prstGeom>
      </xdr:spPr>
    </xdr:pic>
    <xdr:clientData/>
  </xdr:oneCellAnchor>
  <xdr:twoCellAnchor editAs="oneCell">
    <xdr:from>
      <xdr:col>4</xdr:col>
      <xdr:colOff>571501</xdr:colOff>
      <xdr:row>0</xdr:row>
      <xdr:rowOff>153865</xdr:rowOff>
    </xdr:from>
    <xdr:to>
      <xdr:col>7</xdr:col>
      <xdr:colOff>180245</xdr:colOff>
      <xdr:row>3</xdr:row>
      <xdr:rowOff>140303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53865"/>
          <a:ext cx="2246436" cy="557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172917</xdr:colOff>
      <xdr:row>29</xdr:row>
      <xdr:rowOff>137012</xdr:rowOff>
    </xdr:from>
    <xdr:to>
      <xdr:col>6</xdr:col>
      <xdr:colOff>7328</xdr:colOff>
      <xdr:row>41</xdr:row>
      <xdr:rowOff>80595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43229</xdr:colOff>
      <xdr:row>42</xdr:row>
      <xdr:rowOff>101112</xdr:rowOff>
    </xdr:from>
    <xdr:to>
      <xdr:col>6</xdr:col>
      <xdr:colOff>0</xdr:colOff>
      <xdr:row>56</xdr:row>
      <xdr:rowOff>177312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265970</xdr:colOff>
      <xdr:row>27</xdr:row>
      <xdr:rowOff>104775</xdr:rowOff>
    </xdr:from>
    <xdr:to>
      <xdr:col>4</xdr:col>
      <xdr:colOff>332644</xdr:colOff>
      <xdr:row>28</xdr:row>
      <xdr:rowOff>180975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41258" y="3130794"/>
          <a:ext cx="1641963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8</xdr:col>
      <xdr:colOff>435218</xdr:colOff>
      <xdr:row>3</xdr:row>
      <xdr:rowOff>65943</xdr:rowOff>
    </xdr:from>
    <xdr:to>
      <xdr:col>11</xdr:col>
      <xdr:colOff>19782</xdr:colOff>
      <xdr:row>4</xdr:row>
      <xdr:rowOff>142143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036043" y="637443"/>
          <a:ext cx="187056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Afiliados/No Cotizantes</a:t>
          </a:r>
        </a:p>
      </xdr:txBody>
    </xdr:sp>
    <xdr:clientData/>
  </xdr:twoCellAnchor>
  <xdr:twoCellAnchor editAs="oneCell">
    <xdr:from>
      <xdr:col>0</xdr:col>
      <xdr:colOff>270708</xdr:colOff>
      <xdr:row>1</xdr:row>
      <xdr:rowOff>65942</xdr:rowOff>
    </xdr:from>
    <xdr:to>
      <xdr:col>1</xdr:col>
      <xdr:colOff>330826</xdr:colOff>
      <xdr:row>4</xdr:row>
      <xdr:rowOff>43962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0708" y="256442"/>
          <a:ext cx="873406" cy="549520"/>
        </a:xfrm>
        <a:prstGeom prst="rect">
          <a:avLst/>
        </a:prstGeom>
      </xdr:spPr>
    </xdr:pic>
    <xdr:clientData/>
  </xdr:twoCellAnchor>
  <xdr:twoCellAnchor>
    <xdr:from>
      <xdr:col>6</xdr:col>
      <xdr:colOff>174379</xdr:colOff>
      <xdr:row>4</xdr:row>
      <xdr:rowOff>174381</xdr:rowOff>
    </xdr:from>
    <xdr:to>
      <xdr:col>12</xdr:col>
      <xdr:colOff>521675</xdr:colOff>
      <xdr:row>27</xdr:row>
      <xdr:rowOff>139945</xdr:rowOff>
    </xdr:to>
    <xdr:graphicFrame macro="">
      <xdr:nvGraphicFramePr>
        <xdr:cNvPr id="13" name="10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249114</xdr:colOff>
      <xdr:row>28</xdr:row>
      <xdr:rowOff>181709</xdr:rowOff>
    </xdr:from>
    <xdr:to>
      <xdr:col>12</xdr:col>
      <xdr:colOff>249114</xdr:colOff>
      <xdr:row>43</xdr:row>
      <xdr:rowOff>67409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769328</xdr:colOff>
      <xdr:row>1</xdr:row>
      <xdr:rowOff>14654</xdr:rowOff>
    </xdr:from>
    <xdr:to>
      <xdr:col>6</xdr:col>
      <xdr:colOff>268167</xdr:colOff>
      <xdr:row>4</xdr:row>
      <xdr:rowOff>1092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024" y="205154"/>
          <a:ext cx="2240382" cy="55793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485781</xdr:colOff>
      <xdr:row>7</xdr:row>
      <xdr:rowOff>158755</xdr:rowOff>
    </xdr:from>
    <xdr:to>
      <xdr:col>57</xdr:col>
      <xdr:colOff>638175</xdr:colOff>
      <xdr:row>31</xdr:row>
      <xdr:rowOff>6349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450850</xdr:colOff>
      <xdr:row>31</xdr:row>
      <xdr:rowOff>82550</xdr:rowOff>
    </xdr:from>
    <xdr:to>
      <xdr:col>57</xdr:col>
      <xdr:colOff>603244</xdr:colOff>
      <xdr:row>52</xdr:row>
      <xdr:rowOff>120644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3</xdr:row>
      <xdr:rowOff>0</xdr:rowOff>
    </xdr:from>
    <xdr:to>
      <xdr:col>1</xdr:col>
      <xdr:colOff>1113682</xdr:colOff>
      <xdr:row>6</xdr:row>
      <xdr:rowOff>51288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5" y="571500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23</xdr:col>
      <xdr:colOff>419100</xdr:colOff>
      <xdr:row>2</xdr:row>
      <xdr:rowOff>133350</xdr:rowOff>
    </xdr:from>
    <xdr:to>
      <xdr:col>50</xdr:col>
      <xdr:colOff>379536</xdr:colOff>
      <xdr:row>5</xdr:row>
      <xdr:rowOff>119788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514350"/>
          <a:ext cx="2246436" cy="55793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0.33542</cdr:x>
      <cdr:y>0.01736</cdr:y>
    </cdr:from>
    <cdr:to>
      <cdr:x>0.64375</cdr:x>
      <cdr:y>0.11111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33525" y="47624"/>
          <a:ext cx="1409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130421</xdr:rowOff>
    </xdr:from>
    <xdr:to>
      <xdr:col>5</xdr:col>
      <xdr:colOff>492125</xdr:colOff>
      <xdr:row>38</xdr:row>
      <xdr:rowOff>186836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141832</xdr:colOff>
      <xdr:row>1</xdr:row>
      <xdr:rowOff>87924</xdr:rowOff>
    </xdr:from>
    <xdr:to>
      <xdr:col>0</xdr:col>
      <xdr:colOff>1034340</xdr:colOff>
      <xdr:row>4</xdr:row>
      <xdr:rowOff>80596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832" y="278424"/>
          <a:ext cx="896694" cy="564172"/>
        </a:xfrm>
        <a:prstGeom prst="rect">
          <a:avLst/>
        </a:prstGeom>
      </xdr:spPr>
    </xdr:pic>
    <xdr:clientData/>
  </xdr:twoCellAnchor>
  <xdr:twoCellAnchor>
    <xdr:from>
      <xdr:col>5</xdr:col>
      <xdr:colOff>377336</xdr:colOff>
      <xdr:row>27</xdr:row>
      <xdr:rowOff>12212</xdr:rowOff>
    </xdr:from>
    <xdr:to>
      <xdr:col>10</xdr:col>
      <xdr:colOff>388327</xdr:colOff>
      <xdr:row>38</xdr:row>
      <xdr:rowOff>151424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534866</xdr:colOff>
      <xdr:row>1</xdr:row>
      <xdr:rowOff>58616</xdr:rowOff>
    </xdr:from>
    <xdr:to>
      <xdr:col>6</xdr:col>
      <xdr:colOff>495302</xdr:colOff>
      <xdr:row>4</xdr:row>
      <xdr:rowOff>45054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962" y="249116"/>
          <a:ext cx="2246436" cy="5579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75711</xdr:colOff>
      <xdr:row>28</xdr:row>
      <xdr:rowOff>48600</xdr:rowOff>
    </xdr:from>
    <xdr:to>
      <xdr:col>4</xdr:col>
      <xdr:colOff>451827</xdr:colOff>
      <xdr:row>38</xdr:row>
      <xdr:rowOff>42740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80597</xdr:colOff>
      <xdr:row>2</xdr:row>
      <xdr:rowOff>36634</xdr:rowOff>
    </xdr:from>
    <xdr:to>
      <xdr:col>0</xdr:col>
      <xdr:colOff>639575</xdr:colOff>
      <xdr:row>4</xdr:row>
      <xdr:rowOff>7326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97" y="608134"/>
          <a:ext cx="558978" cy="351692"/>
        </a:xfrm>
        <a:prstGeom prst="rect">
          <a:avLst/>
        </a:prstGeom>
      </xdr:spPr>
    </xdr:pic>
    <xdr:clientData/>
  </xdr:twoCellAnchor>
  <xdr:twoCellAnchor>
    <xdr:from>
      <xdr:col>4</xdr:col>
      <xdr:colOff>105507</xdr:colOff>
      <xdr:row>4</xdr:row>
      <xdr:rowOff>37366</xdr:rowOff>
    </xdr:from>
    <xdr:to>
      <xdr:col>9</xdr:col>
      <xdr:colOff>281354</xdr:colOff>
      <xdr:row>28</xdr:row>
      <xdr:rowOff>104773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825748</xdr:colOff>
      <xdr:row>1</xdr:row>
      <xdr:rowOff>163271</xdr:rowOff>
    </xdr:from>
    <xdr:to>
      <xdr:col>4</xdr:col>
      <xdr:colOff>564907</xdr:colOff>
      <xdr:row>4</xdr:row>
      <xdr:rowOff>1943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623" y="353771"/>
          <a:ext cx="1653684" cy="4101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189851</xdr:rowOff>
    </xdr:from>
    <xdr:to>
      <xdr:col>2</xdr:col>
      <xdr:colOff>1006896</xdr:colOff>
      <xdr:row>40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432289</xdr:colOff>
      <xdr:row>1</xdr:row>
      <xdr:rowOff>131885</xdr:rowOff>
    </xdr:from>
    <xdr:to>
      <xdr:col>0</xdr:col>
      <xdr:colOff>1317338</xdr:colOff>
      <xdr:row>4</xdr:row>
      <xdr:rowOff>117231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289" y="322385"/>
          <a:ext cx="885049" cy="556846"/>
        </a:xfrm>
        <a:prstGeom prst="rect">
          <a:avLst/>
        </a:prstGeom>
      </xdr:spPr>
    </xdr:pic>
    <xdr:clientData/>
  </xdr:twoCellAnchor>
  <xdr:twoCellAnchor editAs="oneCell">
    <xdr:from>
      <xdr:col>2</xdr:col>
      <xdr:colOff>461596</xdr:colOff>
      <xdr:row>1</xdr:row>
      <xdr:rowOff>7327</xdr:rowOff>
    </xdr:from>
    <xdr:to>
      <xdr:col>4</xdr:col>
      <xdr:colOff>187571</xdr:colOff>
      <xdr:row>3</xdr:row>
      <xdr:rowOff>184265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23" y="197827"/>
          <a:ext cx="2246436" cy="5579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25</xdr:row>
      <xdr:rowOff>16608</xdr:rowOff>
    </xdr:from>
    <xdr:to>
      <xdr:col>3</xdr:col>
      <xdr:colOff>257175</xdr:colOff>
      <xdr:row>39</xdr:row>
      <xdr:rowOff>57150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21981</xdr:colOff>
      <xdr:row>2</xdr:row>
      <xdr:rowOff>36634</xdr:rowOff>
    </xdr:from>
    <xdr:to>
      <xdr:col>0</xdr:col>
      <xdr:colOff>600808</xdr:colOff>
      <xdr:row>4</xdr:row>
      <xdr:rowOff>19814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1" y="417634"/>
          <a:ext cx="578827" cy="364180"/>
        </a:xfrm>
        <a:prstGeom prst="rect">
          <a:avLst/>
        </a:prstGeom>
      </xdr:spPr>
    </xdr:pic>
    <xdr:clientData/>
  </xdr:twoCellAnchor>
  <xdr:twoCellAnchor editAs="oneCell">
    <xdr:from>
      <xdr:col>2</xdr:col>
      <xdr:colOff>205155</xdr:colOff>
      <xdr:row>1</xdr:row>
      <xdr:rowOff>102577</xdr:rowOff>
    </xdr:from>
    <xdr:to>
      <xdr:col>3</xdr:col>
      <xdr:colOff>486506</xdr:colOff>
      <xdr:row>3</xdr:row>
      <xdr:rowOff>131749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732" y="293077"/>
          <a:ext cx="1651486" cy="410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49"/>
  <sheetViews>
    <sheetView showGridLines="0" zoomScaleNormal="100" workbookViewId="0">
      <selection activeCell="B28" sqref="B28"/>
    </sheetView>
  </sheetViews>
  <sheetFormatPr baseColWidth="10" defaultColWidth="11.42578125" defaultRowHeight="15" x14ac:dyDescent="0.25"/>
  <cols>
    <col min="1" max="1" width="11.85546875" style="1" customWidth="1"/>
    <col min="2" max="2" width="15.5703125" style="1" customWidth="1"/>
    <col min="3" max="3" width="13.7109375" style="1" bestFit="1" customWidth="1"/>
    <col min="4" max="4" width="11.5703125" style="1" bestFit="1" customWidth="1"/>
    <col min="5" max="5" width="13" style="1" customWidth="1"/>
    <col min="6" max="6" width="11.5703125" style="1" bestFit="1" customWidth="1"/>
    <col min="7" max="16384" width="11.42578125" style="1"/>
  </cols>
  <sheetData>
    <row r="1" spans="1:8" x14ac:dyDescent="0.25">
      <c r="A1" s="242" t="s">
        <v>0</v>
      </c>
      <c r="B1" s="242"/>
      <c r="C1" s="242"/>
      <c r="D1" s="242"/>
      <c r="E1" s="242"/>
      <c r="F1" s="242"/>
    </row>
    <row r="2" spans="1:8" x14ac:dyDescent="0.25">
      <c r="A2" s="242" t="s">
        <v>121</v>
      </c>
      <c r="B2" s="242"/>
      <c r="C2" s="242"/>
      <c r="D2" s="242"/>
      <c r="E2" s="242"/>
      <c r="F2" s="242"/>
    </row>
    <row r="3" spans="1:8" x14ac:dyDescent="0.25">
      <c r="A3" s="242" t="s">
        <v>156</v>
      </c>
      <c r="B3" s="242"/>
      <c r="C3" s="242"/>
      <c r="D3" s="242"/>
      <c r="E3" s="242"/>
      <c r="F3" s="242"/>
    </row>
    <row r="4" spans="1:8" x14ac:dyDescent="0.25">
      <c r="A4" s="242" t="s">
        <v>225</v>
      </c>
      <c r="B4" s="242"/>
      <c r="C4" s="242"/>
      <c r="D4" s="242"/>
      <c r="E4" s="242"/>
      <c r="F4" s="242"/>
    </row>
    <row r="5" spans="1:8" x14ac:dyDescent="0.25">
      <c r="A5" s="243" t="s">
        <v>166</v>
      </c>
      <c r="B5" s="243"/>
      <c r="C5" s="243"/>
      <c r="D5" s="243"/>
      <c r="E5" s="243"/>
      <c r="F5" s="243"/>
    </row>
    <row r="6" spans="1:8" x14ac:dyDescent="0.25">
      <c r="A6" s="241" t="s">
        <v>1</v>
      </c>
      <c r="B6" s="241" t="s">
        <v>181</v>
      </c>
      <c r="C6" s="241" t="s">
        <v>182</v>
      </c>
      <c r="D6" s="241"/>
      <c r="E6" s="241" t="s">
        <v>33</v>
      </c>
      <c r="F6" s="241"/>
    </row>
    <row r="7" spans="1:8" ht="11.25" customHeight="1" x14ac:dyDescent="0.25">
      <c r="A7" s="241"/>
      <c r="B7" s="241"/>
      <c r="C7" s="241"/>
      <c r="D7" s="241"/>
      <c r="E7" s="241"/>
      <c r="F7" s="241"/>
    </row>
    <row r="8" spans="1:8" x14ac:dyDescent="0.25">
      <c r="A8" s="151"/>
      <c r="B8" s="152" t="s">
        <v>20</v>
      </c>
      <c r="C8" s="152" t="s">
        <v>34</v>
      </c>
      <c r="D8" s="152" t="s">
        <v>35</v>
      </c>
      <c r="E8" s="152" t="s">
        <v>34</v>
      </c>
      <c r="F8" s="152" t="s">
        <v>35</v>
      </c>
      <c r="G8" s="153"/>
      <c r="H8" s="153"/>
    </row>
    <row r="9" spans="1:8" x14ac:dyDescent="0.25">
      <c r="A9" s="96" t="s">
        <v>89</v>
      </c>
      <c r="B9" s="154">
        <v>32475147.75</v>
      </c>
      <c r="C9" s="154">
        <v>33948877.780000001</v>
      </c>
      <c r="D9" s="2">
        <f>+C9/B9</f>
        <v>1.0453802409567174</v>
      </c>
      <c r="E9" s="155">
        <f>+B9-C9</f>
        <v>-1473730.0300000012</v>
      </c>
      <c r="F9" s="4">
        <f>(E9/B9)</f>
        <v>-4.5380240956717471E-2</v>
      </c>
      <c r="G9" s="153"/>
      <c r="H9" s="153"/>
    </row>
    <row r="10" spans="1:8" x14ac:dyDescent="0.25">
      <c r="A10" s="96" t="s">
        <v>88</v>
      </c>
      <c r="B10" s="154">
        <v>34760918.649999999</v>
      </c>
      <c r="C10" s="154">
        <v>31766271.809999999</v>
      </c>
      <c r="D10" s="2">
        <f>+C10/B10</f>
        <v>0.91385018128685158</v>
      </c>
      <c r="E10" s="155">
        <f>+B10-C10</f>
        <v>2994646.84</v>
      </c>
      <c r="F10" s="4">
        <f>(E10/B10)</f>
        <v>8.6149818713148418E-2</v>
      </c>
      <c r="G10" s="153"/>
      <c r="H10" s="153"/>
    </row>
    <row r="11" spans="1:8" x14ac:dyDescent="0.25">
      <c r="A11" s="96" t="s">
        <v>132</v>
      </c>
      <c r="B11" s="154">
        <v>32475147.760000002</v>
      </c>
      <c r="C11" s="154">
        <v>28841783.899999999</v>
      </c>
      <c r="D11" s="2">
        <f>+C11/B11</f>
        <v>0.88811863499893728</v>
      </c>
      <c r="E11" s="155">
        <f>+B11-C11</f>
        <v>3633363.8600000031</v>
      </c>
      <c r="F11" s="4">
        <f>(E11/B11)</f>
        <v>0.11188136500106267</v>
      </c>
      <c r="G11" s="153"/>
      <c r="H11" s="153"/>
    </row>
    <row r="12" spans="1:8" x14ac:dyDescent="0.25">
      <c r="A12" s="156" t="s">
        <v>94</v>
      </c>
      <c r="B12" s="8">
        <f>SUM(B9:B11)</f>
        <v>99711214.160000011</v>
      </c>
      <c r="C12" s="8">
        <f>SUM(C9:C11)</f>
        <v>94556933.49000001</v>
      </c>
      <c r="D12" s="3">
        <f>(C12/B12)</f>
        <v>0.94830791387487001</v>
      </c>
      <c r="E12" s="9">
        <f>SUM(E9:E11)</f>
        <v>5154280.6700000018</v>
      </c>
      <c r="F12" s="5">
        <f>(E12/B12)</f>
        <v>5.1692086125129995E-2</v>
      </c>
      <c r="G12" s="153"/>
      <c r="H12" s="153"/>
    </row>
    <row r="13" spans="1:8" hidden="1" x14ac:dyDescent="0.25">
      <c r="A13" s="96" t="s">
        <v>36</v>
      </c>
      <c r="B13" s="157"/>
      <c r="C13" s="158"/>
      <c r="D13" s="2" t="e">
        <f t="shared" ref="D13:D24" si="0">+C13/B13</f>
        <v>#DIV/0!</v>
      </c>
      <c r="E13" s="159"/>
      <c r="F13" s="4" t="e">
        <f t="shared" ref="F13:F24" si="1">(E13/B13)</f>
        <v>#DIV/0!</v>
      </c>
      <c r="G13" s="153"/>
      <c r="H13" s="153"/>
    </row>
    <row r="14" spans="1:8" hidden="1" x14ac:dyDescent="0.25">
      <c r="A14" s="96" t="s">
        <v>37</v>
      </c>
      <c r="B14" s="157"/>
      <c r="C14" s="158"/>
      <c r="D14" s="2" t="e">
        <f t="shared" si="0"/>
        <v>#DIV/0!</v>
      </c>
      <c r="E14" s="159"/>
      <c r="F14" s="4" t="e">
        <f t="shared" si="1"/>
        <v>#DIV/0!</v>
      </c>
      <c r="G14" s="153"/>
      <c r="H14" s="153"/>
    </row>
    <row r="15" spans="1:8" hidden="1" x14ac:dyDescent="0.25">
      <c r="A15" s="96" t="s">
        <v>38</v>
      </c>
      <c r="B15" s="157"/>
      <c r="C15" s="158"/>
      <c r="D15" s="2" t="e">
        <f t="shared" si="0"/>
        <v>#DIV/0!</v>
      </c>
      <c r="E15" s="159"/>
      <c r="F15" s="4" t="e">
        <f t="shared" si="1"/>
        <v>#DIV/0!</v>
      </c>
      <c r="G15" s="153"/>
      <c r="H15" s="153"/>
    </row>
    <row r="16" spans="1:8" hidden="1" x14ac:dyDescent="0.25">
      <c r="A16" s="156" t="s">
        <v>131</v>
      </c>
      <c r="B16" s="8">
        <f>SUM(B13:B15)</f>
        <v>0</v>
      </c>
      <c r="C16" s="8">
        <f>SUM(C13:C15)</f>
        <v>0</v>
      </c>
      <c r="D16" s="3" t="e">
        <f>(C16/B16)</f>
        <v>#DIV/0!</v>
      </c>
      <c r="E16" s="9">
        <f>SUM(E13:E15)</f>
        <v>0</v>
      </c>
      <c r="F16" s="5" t="e">
        <f>(E16/B16)</f>
        <v>#DIV/0!</v>
      </c>
      <c r="G16" s="153"/>
      <c r="H16" s="153"/>
    </row>
    <row r="17" spans="1:8" hidden="1" x14ac:dyDescent="0.25">
      <c r="A17" s="96" t="s">
        <v>132</v>
      </c>
      <c r="B17" s="157"/>
      <c r="C17" s="158"/>
      <c r="D17" s="2" t="e">
        <f t="shared" si="0"/>
        <v>#DIV/0!</v>
      </c>
      <c r="E17" s="159"/>
      <c r="F17" s="4" t="e">
        <f t="shared" si="1"/>
        <v>#DIV/0!</v>
      </c>
      <c r="G17" s="153"/>
      <c r="H17" s="153"/>
    </row>
    <row r="18" spans="1:8" hidden="1" x14ac:dyDescent="0.25">
      <c r="A18" s="96" t="s">
        <v>88</v>
      </c>
      <c r="B18" s="157"/>
      <c r="C18" s="158"/>
      <c r="D18" s="2" t="e">
        <f t="shared" si="0"/>
        <v>#DIV/0!</v>
      </c>
      <c r="E18" s="159"/>
      <c r="F18" s="4" t="e">
        <f t="shared" si="1"/>
        <v>#DIV/0!</v>
      </c>
      <c r="G18" s="153"/>
      <c r="H18" s="153"/>
    </row>
    <row r="19" spans="1:8" hidden="1" x14ac:dyDescent="0.25">
      <c r="A19" s="96" t="s">
        <v>89</v>
      </c>
      <c r="B19" s="157"/>
      <c r="C19" s="158"/>
      <c r="D19" s="2" t="e">
        <f t="shared" si="0"/>
        <v>#DIV/0!</v>
      </c>
      <c r="E19" s="159"/>
      <c r="F19" s="4" t="e">
        <f t="shared" si="1"/>
        <v>#DIV/0!</v>
      </c>
      <c r="G19" s="153"/>
      <c r="H19" s="153"/>
    </row>
    <row r="20" spans="1:8" hidden="1" x14ac:dyDescent="0.25">
      <c r="A20" s="156" t="s">
        <v>94</v>
      </c>
      <c r="B20" s="8">
        <f>SUM(B17:B19)</f>
        <v>0</v>
      </c>
      <c r="C20" s="8">
        <f>SUM(C17:C19)</f>
        <v>0</v>
      </c>
      <c r="D20" s="3" t="e">
        <f>(C20/B20)</f>
        <v>#DIV/0!</v>
      </c>
      <c r="E20" s="9">
        <f>SUM(E17:E19)</f>
        <v>0</v>
      </c>
      <c r="F20" s="5" t="e">
        <f>(E20/B20)</f>
        <v>#DIV/0!</v>
      </c>
      <c r="G20" s="153"/>
      <c r="H20" s="153"/>
    </row>
    <row r="21" spans="1:8" hidden="1" x14ac:dyDescent="0.25">
      <c r="A21" s="96" t="s">
        <v>90</v>
      </c>
      <c r="B21" s="157"/>
      <c r="C21" s="158"/>
      <c r="D21" s="2" t="e">
        <f t="shared" si="0"/>
        <v>#DIV/0!</v>
      </c>
      <c r="E21" s="159"/>
      <c r="F21" s="4" t="e">
        <f t="shared" si="1"/>
        <v>#DIV/0!</v>
      </c>
      <c r="G21" s="153"/>
      <c r="H21" s="153"/>
    </row>
    <row r="22" spans="1:8" hidden="1" x14ac:dyDescent="0.25">
      <c r="A22" s="96" t="s">
        <v>91</v>
      </c>
      <c r="B22" s="157"/>
      <c r="C22" s="158"/>
      <c r="D22" s="2" t="e">
        <f t="shared" si="0"/>
        <v>#DIV/0!</v>
      </c>
      <c r="E22" s="159"/>
      <c r="F22" s="4" t="e">
        <f t="shared" si="1"/>
        <v>#DIV/0!</v>
      </c>
      <c r="G22" s="153"/>
      <c r="H22" s="153"/>
    </row>
    <row r="23" spans="1:8" hidden="1" x14ac:dyDescent="0.25">
      <c r="A23" s="96" t="s">
        <v>92</v>
      </c>
      <c r="B23" s="157"/>
      <c r="C23" s="158"/>
      <c r="D23" s="2" t="e">
        <f t="shared" si="0"/>
        <v>#DIV/0!</v>
      </c>
      <c r="E23" s="159"/>
      <c r="F23" s="4" t="e">
        <f t="shared" si="1"/>
        <v>#DIV/0!</v>
      </c>
      <c r="G23" s="153"/>
      <c r="H23" s="153"/>
    </row>
    <row r="24" spans="1:8" hidden="1" x14ac:dyDescent="0.25">
      <c r="A24" s="96" t="s">
        <v>128</v>
      </c>
      <c r="B24" s="157"/>
      <c r="C24" s="158"/>
      <c r="D24" s="2" t="e">
        <f t="shared" si="0"/>
        <v>#DIV/0!</v>
      </c>
      <c r="E24" s="159"/>
      <c r="F24" s="4" t="e">
        <f t="shared" si="1"/>
        <v>#DIV/0!</v>
      </c>
      <c r="G24" s="153"/>
      <c r="H24" s="153"/>
    </row>
    <row r="25" spans="1:8" hidden="1" x14ac:dyDescent="0.25">
      <c r="A25" s="156" t="s">
        <v>95</v>
      </c>
      <c r="B25" s="8">
        <f>SUM(B21:B24)</f>
        <v>0</v>
      </c>
      <c r="C25" s="8">
        <f>SUM(C21:C24)</f>
        <v>0</v>
      </c>
      <c r="D25" s="3" t="e">
        <f>(C25/B25)</f>
        <v>#DIV/0!</v>
      </c>
      <c r="E25" s="9">
        <f>SUM(E21:E24)</f>
        <v>0</v>
      </c>
      <c r="F25" s="5" t="e">
        <f>(E25/B25)</f>
        <v>#DIV/0!</v>
      </c>
      <c r="G25" s="153"/>
      <c r="H25" s="153"/>
    </row>
    <row r="26" spans="1:8" hidden="1" x14ac:dyDescent="0.25">
      <c r="A26" s="160" t="s">
        <v>9</v>
      </c>
      <c r="B26" s="10">
        <f>+B12+B16+B20+B25</f>
        <v>99711214.160000011</v>
      </c>
      <c r="C26" s="10">
        <f>+C12+C16+C20+C25</f>
        <v>94556933.49000001</v>
      </c>
      <c r="D26" s="7">
        <f>(C26/B26)</f>
        <v>0.94830791387487001</v>
      </c>
      <c r="E26" s="11">
        <f>+E12+E16+E20+E25</f>
        <v>5154280.6700000018</v>
      </c>
      <c r="F26" s="6">
        <f>(E26/B26)</f>
        <v>5.1692086125129995E-2</v>
      </c>
      <c r="G26" s="153"/>
      <c r="H26" s="153"/>
    </row>
    <row r="27" spans="1:8" x14ac:dyDescent="0.25">
      <c r="A27" s="161" t="s">
        <v>157</v>
      </c>
      <c r="B27" s="153"/>
      <c r="C27" s="153"/>
      <c r="D27" s="153"/>
      <c r="E27" s="153"/>
      <c r="F27" s="153"/>
      <c r="G27" s="153"/>
      <c r="H27" s="153"/>
    </row>
    <row r="28" spans="1:8" s="15" customFormat="1" ht="11.25" x14ac:dyDescent="0.2">
      <c r="A28" s="161" t="s">
        <v>240</v>
      </c>
      <c r="B28" s="162"/>
      <c r="C28" s="162"/>
      <c r="D28" s="162"/>
      <c r="E28" s="162"/>
      <c r="F28" s="162"/>
      <c r="G28" s="162"/>
      <c r="H28" s="162"/>
    </row>
    <row r="29" spans="1:8" x14ac:dyDescent="0.25">
      <c r="A29" s="153"/>
      <c r="B29" s="153"/>
      <c r="C29" s="153"/>
      <c r="D29" s="153"/>
      <c r="E29" s="153"/>
      <c r="F29" s="153"/>
      <c r="G29" s="153"/>
      <c r="H29" s="153"/>
    </row>
    <row r="30" spans="1:8" x14ac:dyDescent="0.25">
      <c r="A30" s="153"/>
      <c r="B30" s="153"/>
      <c r="C30" s="153"/>
      <c r="D30" s="153"/>
      <c r="E30" s="153"/>
      <c r="F30" s="153"/>
      <c r="G30" s="153"/>
      <c r="H30" s="153"/>
    </row>
    <row r="31" spans="1:8" x14ac:dyDescent="0.25">
      <c r="A31" s="153"/>
      <c r="B31" s="153"/>
      <c r="C31" s="153"/>
      <c r="D31" s="153"/>
      <c r="E31" s="153"/>
      <c r="F31" s="153"/>
      <c r="G31" s="153"/>
      <c r="H31" s="153"/>
    </row>
    <row r="32" spans="1:8" x14ac:dyDescent="0.25">
      <c r="A32" s="153"/>
      <c r="B32" s="153"/>
      <c r="C32" s="153"/>
      <c r="D32" s="153"/>
      <c r="E32" s="153"/>
      <c r="F32" s="153"/>
      <c r="G32" s="153"/>
      <c r="H32" s="153"/>
    </row>
    <row r="33" spans="1:8" x14ac:dyDescent="0.25">
      <c r="A33" s="153"/>
      <c r="B33" s="153"/>
      <c r="C33" s="153"/>
      <c r="D33" s="153"/>
      <c r="E33" s="153"/>
      <c r="F33" s="153"/>
      <c r="G33" s="153"/>
      <c r="H33" s="153"/>
    </row>
    <row r="34" spans="1:8" x14ac:dyDescent="0.25">
      <c r="A34" s="153"/>
      <c r="B34" s="153"/>
      <c r="C34" s="153"/>
      <c r="D34" s="153"/>
      <c r="E34" s="153"/>
      <c r="F34" s="153"/>
      <c r="G34" s="153"/>
      <c r="H34" s="153"/>
    </row>
    <row r="35" spans="1:8" x14ac:dyDescent="0.25">
      <c r="A35" s="153"/>
      <c r="B35" s="153"/>
      <c r="C35" s="153"/>
      <c r="D35" s="153"/>
      <c r="E35" s="153"/>
      <c r="F35" s="153"/>
      <c r="G35" s="153"/>
      <c r="H35" s="153"/>
    </row>
    <row r="36" spans="1:8" x14ac:dyDescent="0.25">
      <c r="A36" s="153"/>
      <c r="B36" s="153"/>
      <c r="C36" s="153"/>
      <c r="D36" s="153"/>
      <c r="E36" s="153"/>
      <c r="F36" s="153"/>
      <c r="G36" s="153"/>
      <c r="H36" s="153"/>
    </row>
    <row r="37" spans="1:8" x14ac:dyDescent="0.25">
      <c r="A37" s="153"/>
      <c r="B37" s="153"/>
      <c r="C37" s="153"/>
      <c r="D37" s="153"/>
      <c r="E37" s="153"/>
      <c r="F37" s="153"/>
      <c r="G37" s="153"/>
      <c r="H37" s="153"/>
    </row>
    <row r="38" spans="1:8" x14ac:dyDescent="0.25">
      <c r="A38" s="153"/>
      <c r="B38" s="153"/>
      <c r="C38" s="153"/>
      <c r="D38" s="153"/>
      <c r="E38" s="153"/>
      <c r="F38" s="153"/>
      <c r="G38" s="153"/>
      <c r="H38" s="153"/>
    </row>
    <row r="39" spans="1:8" x14ac:dyDescent="0.25">
      <c r="A39" s="153"/>
      <c r="B39" s="153"/>
      <c r="C39" s="153"/>
      <c r="D39" s="153"/>
      <c r="E39" s="153"/>
      <c r="F39" s="153"/>
      <c r="G39" s="153"/>
      <c r="H39" s="153"/>
    </row>
    <row r="40" spans="1:8" x14ac:dyDescent="0.25">
      <c r="A40" s="153"/>
      <c r="B40" s="153"/>
      <c r="C40" s="153"/>
      <c r="D40" s="153"/>
      <c r="E40" s="153"/>
      <c r="F40" s="153"/>
      <c r="G40" s="153"/>
      <c r="H40" s="153"/>
    </row>
    <row r="41" spans="1:8" x14ac:dyDescent="0.25">
      <c r="A41" s="153"/>
      <c r="B41" s="153"/>
      <c r="C41" s="153"/>
      <c r="D41" s="153"/>
      <c r="E41" s="153"/>
      <c r="F41" s="153"/>
      <c r="G41" s="153"/>
      <c r="H41" s="153"/>
    </row>
    <row r="42" spans="1:8" x14ac:dyDescent="0.25">
      <c r="A42" s="153"/>
      <c r="B42" s="153"/>
      <c r="C42" s="153"/>
      <c r="D42" s="153"/>
      <c r="E42" s="153"/>
      <c r="F42" s="153"/>
      <c r="G42" s="153"/>
      <c r="H42" s="153"/>
    </row>
    <row r="43" spans="1:8" x14ac:dyDescent="0.25">
      <c r="A43" s="153"/>
      <c r="B43" s="153"/>
      <c r="C43" s="153"/>
      <c r="D43" s="153"/>
      <c r="E43" s="153"/>
      <c r="F43" s="153"/>
      <c r="G43" s="153"/>
      <c r="H43" s="153"/>
    </row>
    <row r="44" spans="1:8" x14ac:dyDescent="0.25">
      <c r="A44" s="153"/>
      <c r="B44" s="153"/>
      <c r="C44" s="153"/>
      <c r="D44" s="153"/>
      <c r="E44" s="153"/>
      <c r="F44" s="153"/>
      <c r="G44" s="153"/>
      <c r="H44" s="153"/>
    </row>
    <row r="45" spans="1:8" x14ac:dyDescent="0.25">
      <c r="A45" s="153"/>
      <c r="B45" s="153"/>
      <c r="C45" s="153"/>
      <c r="D45" s="153"/>
      <c r="E45" s="153"/>
      <c r="F45" s="153"/>
      <c r="G45" s="153"/>
      <c r="H45" s="153"/>
    </row>
    <row r="49" spans="1:6" x14ac:dyDescent="0.25">
      <c r="A49" s="96"/>
      <c r="B49" s="154"/>
      <c r="C49" s="154"/>
      <c r="D49" s="2"/>
      <c r="E49" s="155"/>
      <c r="F49" s="4"/>
    </row>
  </sheetData>
  <mergeCells count="9">
    <mergeCell ref="B6:B7"/>
    <mergeCell ref="A6:A7"/>
    <mergeCell ref="A1:F1"/>
    <mergeCell ref="A2:F2"/>
    <mergeCell ref="A3:F3"/>
    <mergeCell ref="A5:F5"/>
    <mergeCell ref="C6:D7"/>
    <mergeCell ref="E6:F7"/>
    <mergeCell ref="A4:F4"/>
  </mergeCells>
  <pageMargins left="0.7" right="0.7" top="0.75" bottom="0.75" header="0.3" footer="0.3"/>
  <pageSetup paperSize="9" scale="98" orientation="portrait" r:id="rId1"/>
  <ignoredErrors>
    <ignoredError sqref="E10" unlockedFormula="1"/>
    <ignoredError sqref="D12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W67"/>
  <sheetViews>
    <sheetView showGridLines="0" topLeftCell="D28" zoomScale="85" zoomScaleNormal="85" workbookViewId="0">
      <selection activeCell="K58" sqref="K58"/>
    </sheetView>
  </sheetViews>
  <sheetFormatPr baseColWidth="10" defaultColWidth="11.42578125" defaultRowHeight="15" x14ac:dyDescent="0.25"/>
  <cols>
    <col min="1" max="1" width="27.7109375" style="1" customWidth="1"/>
    <col min="2" max="2" width="13.5703125" style="1" customWidth="1"/>
    <col min="3" max="3" width="15.7109375" style="1" customWidth="1"/>
    <col min="4" max="4" width="17.85546875" style="1" bestFit="1" customWidth="1"/>
    <col min="5" max="5" width="11.42578125" style="1"/>
    <col min="6" max="6" width="13.5703125" style="1" customWidth="1"/>
    <col min="7" max="7" width="15.7109375" style="1" customWidth="1"/>
    <col min="8" max="8" width="18.5703125" style="1" bestFit="1" customWidth="1"/>
    <col min="9" max="9" width="11.42578125" style="1"/>
    <col min="10" max="11" width="11.5703125" style="1" bestFit="1" customWidth="1"/>
    <col min="12" max="12" width="17.140625" style="1" bestFit="1" customWidth="1"/>
    <col min="13" max="13" width="11.5703125" style="1" bestFit="1" customWidth="1"/>
    <col min="14" max="14" width="15.85546875" style="1" customWidth="1"/>
    <col min="15" max="15" width="15.7109375" style="1" customWidth="1"/>
    <col min="16" max="16" width="18.5703125" style="1" bestFit="1" customWidth="1"/>
    <col min="17" max="17" width="19.85546875" style="1" customWidth="1"/>
    <col min="18" max="18" width="11.42578125" style="1"/>
    <col min="19" max="19" width="13.85546875" style="1" bestFit="1" customWidth="1"/>
    <col min="20" max="16384" width="11.42578125" style="1"/>
  </cols>
  <sheetData>
    <row r="1" spans="1:23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x14ac:dyDescent="0.25">
      <c r="A2" s="242" t="s">
        <v>122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 x14ac:dyDescent="0.2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</row>
    <row r="4" spans="1:23" x14ac:dyDescent="0.2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</row>
    <row r="5" spans="1:23" x14ac:dyDescent="0.2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</row>
    <row r="6" spans="1:23" ht="15.75" customHeight="1" thickBot="1" x14ac:dyDescent="0.3">
      <c r="A6" s="268" t="s">
        <v>39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151"/>
      <c r="S6" s="151"/>
      <c r="T6" s="151"/>
      <c r="U6" s="153"/>
      <c r="V6" s="153"/>
      <c r="W6" s="153"/>
    </row>
    <row r="7" spans="1:23" ht="31.5" customHeight="1" x14ac:dyDescent="0.25">
      <c r="A7" s="195"/>
      <c r="B7" s="263" t="s">
        <v>186</v>
      </c>
      <c r="C7" s="264"/>
      <c r="D7" s="264"/>
      <c r="E7" s="265"/>
      <c r="F7" s="263" t="s">
        <v>219</v>
      </c>
      <c r="G7" s="264"/>
      <c r="H7" s="264"/>
      <c r="I7" s="265"/>
      <c r="J7" s="263" t="s">
        <v>233</v>
      </c>
      <c r="K7" s="266"/>
      <c r="L7" s="266"/>
      <c r="M7" s="267"/>
      <c r="N7" s="263" t="s">
        <v>145</v>
      </c>
      <c r="O7" s="266"/>
      <c r="P7" s="266"/>
      <c r="Q7" s="267"/>
      <c r="R7" s="196"/>
      <c r="S7" s="196"/>
      <c r="T7" s="196"/>
      <c r="U7" s="197"/>
      <c r="V7" s="197"/>
      <c r="W7" s="197"/>
    </row>
    <row r="8" spans="1:23" ht="30" x14ac:dyDescent="0.25">
      <c r="A8" s="120" t="s">
        <v>40</v>
      </c>
      <c r="B8" s="198" t="s">
        <v>59</v>
      </c>
      <c r="C8" s="130" t="s">
        <v>41</v>
      </c>
      <c r="D8" s="130" t="s">
        <v>20</v>
      </c>
      <c r="E8" s="132" t="s">
        <v>41</v>
      </c>
      <c r="F8" s="198" t="s">
        <v>59</v>
      </c>
      <c r="G8" s="130" t="s">
        <v>41</v>
      </c>
      <c r="H8" s="130" t="s">
        <v>20</v>
      </c>
      <c r="I8" s="132" t="s">
        <v>41</v>
      </c>
      <c r="J8" s="130" t="s">
        <v>24</v>
      </c>
      <c r="K8" s="130" t="s">
        <v>41</v>
      </c>
      <c r="L8" s="130" t="s">
        <v>20</v>
      </c>
      <c r="M8" s="130" t="s">
        <v>41</v>
      </c>
      <c r="N8" s="199" t="s">
        <v>216</v>
      </c>
      <c r="O8" s="133" t="s">
        <v>218</v>
      </c>
      <c r="P8" s="133" t="s">
        <v>217</v>
      </c>
      <c r="Q8" s="135" t="s">
        <v>218</v>
      </c>
      <c r="R8" s="153"/>
      <c r="S8" s="153"/>
      <c r="T8" s="153"/>
      <c r="U8" s="153"/>
      <c r="V8" s="153"/>
      <c r="W8" s="153"/>
    </row>
    <row r="9" spans="1:23" x14ac:dyDescent="0.25">
      <c r="A9" s="112" t="s">
        <v>42</v>
      </c>
      <c r="B9" s="200">
        <v>31019</v>
      </c>
      <c r="C9" s="82">
        <f>B9/$F$18</f>
        <v>0.19570347003154573</v>
      </c>
      <c r="D9" s="201">
        <v>389857979.25</v>
      </c>
      <c r="E9" s="82">
        <f>D9/D18</f>
        <v>0.19219079924318538</v>
      </c>
      <c r="F9" s="200">
        <v>31137</v>
      </c>
      <c r="G9" s="82">
        <f>F9/$F$18</f>
        <v>0.19644794952681388</v>
      </c>
      <c r="H9" s="201">
        <v>395798200.02999997</v>
      </c>
      <c r="I9" s="106">
        <f>H9/H18</f>
        <v>0.19391687100775964</v>
      </c>
      <c r="J9" s="200">
        <v>31115</v>
      </c>
      <c r="K9" s="140">
        <f>J9/$J$18</f>
        <v>0.19442378949867842</v>
      </c>
      <c r="L9" s="201">
        <v>407006501.30000001</v>
      </c>
      <c r="M9" s="139">
        <f>L9/L18</f>
        <v>0.18893900788373288</v>
      </c>
      <c r="N9" s="200">
        <f>+J9-F9</f>
        <v>-22</v>
      </c>
      <c r="O9" s="91">
        <f>+(J9-F9)/F9</f>
        <v>-7.0655490252753955E-4</v>
      </c>
      <c r="P9" s="201">
        <f>+L9-H9</f>
        <v>11208301.270000041</v>
      </c>
      <c r="Q9" s="121">
        <f>+(L9-H9)/H9</f>
        <v>2.8318221935194489E-2</v>
      </c>
      <c r="R9" s="153"/>
      <c r="S9" s="153"/>
      <c r="T9" s="153"/>
      <c r="U9" s="153"/>
      <c r="V9" s="153"/>
      <c r="W9" s="153"/>
    </row>
    <row r="10" spans="1:23" x14ac:dyDescent="0.25">
      <c r="A10" s="113" t="s">
        <v>43</v>
      </c>
      <c r="B10" s="200">
        <v>59255</v>
      </c>
      <c r="C10" s="82">
        <f t="shared" ref="C10:C17" si="0">B10/$F$18</f>
        <v>0.37384858044164038</v>
      </c>
      <c r="D10" s="201">
        <v>510211625.12</v>
      </c>
      <c r="E10" s="82">
        <f>D10/D18</f>
        <v>0.25152231128786695</v>
      </c>
      <c r="F10" s="200">
        <v>59538</v>
      </c>
      <c r="G10" s="82">
        <f t="shared" ref="G10:G17" si="1">F10/$F$18</f>
        <v>0.37563406940063093</v>
      </c>
      <c r="H10" s="201">
        <v>514655292.12</v>
      </c>
      <c r="I10" s="106">
        <f>H10/H18</f>
        <v>0.25214956482351464</v>
      </c>
      <c r="J10" s="200">
        <v>59812</v>
      </c>
      <c r="K10" s="140">
        <f t="shared" ref="K10:K17" si="2">J10/$J$18</f>
        <v>0.37373857295500418</v>
      </c>
      <c r="L10" s="201">
        <v>521180850.63</v>
      </c>
      <c r="M10" s="139">
        <f>L10/L18</f>
        <v>0.24194058947832384</v>
      </c>
      <c r="N10" s="200">
        <f t="shared" ref="N10:N17" si="3">+J10-F10</f>
        <v>274</v>
      </c>
      <c r="O10" s="91">
        <f>+(J10-F10)/F10</f>
        <v>4.6021028586784914E-3</v>
      </c>
      <c r="P10" s="201">
        <f t="shared" ref="P10:P17" si="4">+L10-H10</f>
        <v>6525558.5099999905</v>
      </c>
      <c r="Q10" s="121">
        <f t="shared" ref="Q10:Q17" si="5">+(L10-H10)/H10</f>
        <v>1.2679474222677289E-2</v>
      </c>
      <c r="R10" s="153"/>
      <c r="S10" s="153"/>
      <c r="T10" s="153"/>
      <c r="U10" s="153"/>
      <c r="V10" s="153"/>
      <c r="W10" s="153"/>
    </row>
    <row r="11" spans="1:23" x14ac:dyDescent="0.25">
      <c r="A11" s="113" t="s">
        <v>44</v>
      </c>
      <c r="B11" s="200">
        <v>276</v>
      </c>
      <c r="C11" s="84">
        <f t="shared" si="0"/>
        <v>1.7413249211356467E-3</v>
      </c>
      <c r="D11" s="201">
        <v>4655585.25</v>
      </c>
      <c r="E11" s="82">
        <f>D11/D18</f>
        <v>2.295093848953933E-3</v>
      </c>
      <c r="F11" s="200">
        <v>272</v>
      </c>
      <c r="G11" s="84">
        <f t="shared" si="1"/>
        <v>1.7160883280757098E-3</v>
      </c>
      <c r="H11" s="201">
        <v>4588034.25</v>
      </c>
      <c r="I11" s="107">
        <f>H11/H18</f>
        <v>2.2478557147783836E-3</v>
      </c>
      <c r="J11" s="200">
        <v>271</v>
      </c>
      <c r="K11" s="140">
        <f t="shared" si="2"/>
        <v>1.6933584108674868E-3</v>
      </c>
      <c r="L11" s="201">
        <v>4571146.5</v>
      </c>
      <c r="M11" s="139">
        <f>L11/L18</f>
        <v>2.1220002182829947E-3</v>
      </c>
      <c r="N11" s="200">
        <f>+J11-F11</f>
        <v>-1</v>
      </c>
      <c r="O11" s="91">
        <f>+(J11-F11)/F11</f>
        <v>-3.6764705882352941E-3</v>
      </c>
      <c r="P11" s="201">
        <f t="shared" si="4"/>
        <v>-16887.75</v>
      </c>
      <c r="Q11" s="121">
        <f t="shared" si="5"/>
        <v>-3.6808247453688908E-3</v>
      </c>
      <c r="R11" s="153"/>
      <c r="S11" s="153"/>
      <c r="T11" s="153"/>
      <c r="U11" s="153"/>
      <c r="V11" s="153"/>
      <c r="W11" s="153"/>
    </row>
    <row r="12" spans="1:23" x14ac:dyDescent="0.25">
      <c r="A12" s="113" t="s">
        <v>126</v>
      </c>
      <c r="B12" s="200">
        <v>164</v>
      </c>
      <c r="C12" s="84">
        <f t="shared" si="0"/>
        <v>1.0347003154574132E-3</v>
      </c>
      <c r="D12" s="201">
        <v>4673660.1100000003</v>
      </c>
      <c r="E12" s="82">
        <f>D12/D18</f>
        <v>2.304004329114661E-3</v>
      </c>
      <c r="F12" s="200">
        <v>165</v>
      </c>
      <c r="G12" s="84">
        <f t="shared" si="1"/>
        <v>1.0410094637223976E-3</v>
      </c>
      <c r="H12" s="201">
        <v>4769926.3500000006</v>
      </c>
      <c r="I12" s="107">
        <f>H12/H18</f>
        <v>2.3369717008802837E-3</v>
      </c>
      <c r="J12" s="200">
        <v>158</v>
      </c>
      <c r="K12" s="140">
        <f t="shared" si="2"/>
        <v>9.8727169342089651E-4</v>
      </c>
      <c r="L12" s="201">
        <v>4591963.82</v>
      </c>
      <c r="M12" s="139">
        <f>L12/L18</f>
        <v>2.1316639552872818E-3</v>
      </c>
      <c r="N12" s="200">
        <f t="shared" si="3"/>
        <v>-7</v>
      </c>
      <c r="O12" s="91">
        <f t="shared" ref="O12:O17" si="6">+(J12-F12)/F12</f>
        <v>-4.2424242424242427E-2</v>
      </c>
      <c r="P12" s="201">
        <f>+L12-H12</f>
        <v>-177962.53000000026</v>
      </c>
      <c r="Q12" s="121">
        <f t="shared" si="5"/>
        <v>-3.7309282563660597E-2</v>
      </c>
      <c r="R12" s="153"/>
      <c r="S12" s="153"/>
      <c r="T12" s="153"/>
      <c r="U12" s="153"/>
      <c r="V12" s="153"/>
      <c r="W12" s="153"/>
    </row>
    <row r="13" spans="1:23" x14ac:dyDescent="0.25">
      <c r="A13" s="113" t="s">
        <v>45</v>
      </c>
      <c r="B13" s="200">
        <v>304</v>
      </c>
      <c r="C13" s="84">
        <f t="shared" si="0"/>
        <v>1.9179810725552051E-3</v>
      </c>
      <c r="D13" s="201">
        <v>8135102.0700000003</v>
      </c>
      <c r="E13" s="82">
        <f>D13/D18</f>
        <v>4.0104136685005188E-3</v>
      </c>
      <c r="F13" s="200">
        <v>291</v>
      </c>
      <c r="G13" s="84">
        <f t="shared" si="1"/>
        <v>1.83596214511041E-3</v>
      </c>
      <c r="H13" s="201">
        <v>7859081.6799999997</v>
      </c>
      <c r="I13" s="107">
        <f>H13/H18</f>
        <v>3.8504685677309622E-3</v>
      </c>
      <c r="J13" s="200">
        <v>277</v>
      </c>
      <c r="K13" s="140">
        <f t="shared" si="2"/>
        <v>1.7308497409973943E-3</v>
      </c>
      <c r="L13" s="201">
        <v>7581157.7000000002</v>
      </c>
      <c r="M13" s="139">
        <f>L13/L18</f>
        <v>3.5192961534349873E-3</v>
      </c>
      <c r="N13" s="200">
        <f t="shared" si="3"/>
        <v>-14</v>
      </c>
      <c r="O13" s="91">
        <f t="shared" si="6"/>
        <v>-4.8109965635738834E-2</v>
      </c>
      <c r="P13" s="201">
        <f t="shared" si="4"/>
        <v>-277923.97999999952</v>
      </c>
      <c r="Q13" s="121">
        <f t="shared" si="5"/>
        <v>-3.536341665811514E-2</v>
      </c>
      <c r="R13" s="153"/>
      <c r="S13" s="153"/>
      <c r="T13" s="153"/>
      <c r="U13" s="153"/>
      <c r="V13" s="153"/>
      <c r="W13" s="153"/>
    </row>
    <row r="14" spans="1:23" x14ac:dyDescent="0.25">
      <c r="A14" s="113" t="s">
        <v>46</v>
      </c>
      <c r="B14" s="200">
        <v>18929</v>
      </c>
      <c r="C14" s="82">
        <f t="shared" si="0"/>
        <v>0.11942586750788643</v>
      </c>
      <c r="D14" s="201">
        <v>423175892.00999999</v>
      </c>
      <c r="E14" s="82">
        <f>D14/D18</f>
        <v>0.20861574530887275</v>
      </c>
      <c r="F14" s="200">
        <v>18719</v>
      </c>
      <c r="G14" s="82">
        <f t="shared" si="1"/>
        <v>0.11810094637223975</v>
      </c>
      <c r="H14" s="201">
        <v>422264407.25999999</v>
      </c>
      <c r="I14" s="106">
        <f>H14/H18</f>
        <v>0.20688369120324193</v>
      </c>
      <c r="J14" s="200">
        <v>19491</v>
      </c>
      <c r="K14" s="140">
        <f t="shared" si="2"/>
        <v>0.12179058592700438</v>
      </c>
      <c r="L14" s="201">
        <v>498630029.50999999</v>
      </c>
      <c r="M14" s="139">
        <f>L14/L18</f>
        <v>0.2314721331864284</v>
      </c>
      <c r="N14" s="200">
        <f t="shared" si="3"/>
        <v>772</v>
      </c>
      <c r="O14" s="91">
        <f t="shared" si="6"/>
        <v>4.1241519311929056E-2</v>
      </c>
      <c r="P14" s="201">
        <f t="shared" si="4"/>
        <v>76365622.25</v>
      </c>
      <c r="Q14" s="121">
        <f t="shared" si="5"/>
        <v>0.18084787857334031</v>
      </c>
      <c r="R14" s="153"/>
      <c r="S14" s="153"/>
      <c r="T14" s="153"/>
      <c r="U14" s="153"/>
      <c r="V14" s="153"/>
      <c r="W14" s="153"/>
    </row>
    <row r="15" spans="1:23" x14ac:dyDescent="0.25">
      <c r="A15" s="113" t="s">
        <v>152</v>
      </c>
      <c r="B15" s="200">
        <v>21161</v>
      </c>
      <c r="C15" s="82">
        <f t="shared" si="0"/>
        <v>0.13350788643533124</v>
      </c>
      <c r="D15" s="201">
        <v>450900872</v>
      </c>
      <c r="E15" s="82">
        <f>D15/D18</f>
        <v>0.22228350728088689</v>
      </c>
      <c r="F15" s="200">
        <v>21144</v>
      </c>
      <c r="G15" s="82">
        <f t="shared" si="1"/>
        <v>0.13340063091482648</v>
      </c>
      <c r="H15" s="201">
        <v>451598843.05000001</v>
      </c>
      <c r="I15" s="106">
        <f>H15/H18</f>
        <v>0.22125576768247726</v>
      </c>
      <c r="J15" s="200">
        <v>21426</v>
      </c>
      <c r="K15" s="140">
        <f t="shared" si="2"/>
        <v>0.13388153989389953</v>
      </c>
      <c r="L15" s="201">
        <v>467547728.50999999</v>
      </c>
      <c r="M15" s="139">
        <f>L15/L18</f>
        <v>0.21704322579815333</v>
      </c>
      <c r="N15" s="200">
        <f t="shared" si="3"/>
        <v>282</v>
      </c>
      <c r="O15" s="91">
        <f t="shared" si="6"/>
        <v>1.3337116912599319E-2</v>
      </c>
      <c r="P15" s="201">
        <f>+L15-H15</f>
        <v>15948885.459999979</v>
      </c>
      <c r="Q15" s="121">
        <f t="shared" si="5"/>
        <v>3.5316488749804337E-2</v>
      </c>
      <c r="R15" s="153"/>
      <c r="S15" s="153"/>
      <c r="T15" s="153"/>
      <c r="U15" s="153"/>
      <c r="V15" s="153"/>
      <c r="W15" s="153"/>
    </row>
    <row r="16" spans="1:23" x14ac:dyDescent="0.25">
      <c r="A16" s="113" t="s">
        <v>153</v>
      </c>
      <c r="B16" s="200">
        <v>10167</v>
      </c>
      <c r="C16" s="82">
        <f t="shared" si="0"/>
        <v>6.4145110410094644E-2</v>
      </c>
      <c r="D16" s="201">
        <v>61002000</v>
      </c>
      <c r="E16" s="82">
        <f>D16/D18</f>
        <v>3.0072548875329435E-2</v>
      </c>
      <c r="F16" s="200">
        <v>9753</v>
      </c>
      <c r="G16" s="82">
        <f t="shared" si="1"/>
        <v>6.1533123028391166E-2</v>
      </c>
      <c r="H16" s="201">
        <v>58518000</v>
      </c>
      <c r="I16" s="106">
        <f>H16/H18</f>
        <v>2.8670235126819606E-2</v>
      </c>
      <c r="J16" s="200">
        <v>9773</v>
      </c>
      <c r="K16" s="140">
        <f t="shared" si="2"/>
        <v>6.10671282265976E-2</v>
      </c>
      <c r="L16" s="201">
        <v>58638000</v>
      </c>
      <c r="M16" s="139">
        <f>L16/L18</f>
        <v>2.722070902774134E-2</v>
      </c>
      <c r="N16" s="200">
        <f t="shared" si="3"/>
        <v>20</v>
      </c>
      <c r="O16" s="91">
        <f t="shared" si="6"/>
        <v>2.0506510817184455E-3</v>
      </c>
      <c r="P16" s="201">
        <f t="shared" si="4"/>
        <v>120000</v>
      </c>
      <c r="Q16" s="121">
        <f t="shared" si="5"/>
        <v>2.0506510817184455E-3</v>
      </c>
      <c r="R16" s="153"/>
      <c r="S16" s="153"/>
      <c r="T16" s="153"/>
      <c r="U16" s="153"/>
      <c r="V16" s="153"/>
      <c r="W16" s="153"/>
    </row>
    <row r="17" spans="1:23" x14ac:dyDescent="0.25">
      <c r="A17" s="113" t="s">
        <v>47</v>
      </c>
      <c r="B17" s="200">
        <v>17066</v>
      </c>
      <c r="C17" s="82">
        <f t="shared" si="0"/>
        <v>0.10767192429022082</v>
      </c>
      <c r="D17" s="201">
        <v>175881784.37</v>
      </c>
      <c r="E17" s="82">
        <f>D17/D18</f>
        <v>8.6705576157289563E-2</v>
      </c>
      <c r="F17" s="200">
        <v>17481</v>
      </c>
      <c r="G17" s="82">
        <f t="shared" si="1"/>
        <v>0.11029022082018927</v>
      </c>
      <c r="H17" s="201">
        <v>181019721.69</v>
      </c>
      <c r="I17" s="106">
        <f>H17/H18</f>
        <v>8.8688574172797213E-2</v>
      </c>
      <c r="J17" s="200">
        <v>17714</v>
      </c>
      <c r="K17" s="140">
        <f t="shared" si="2"/>
        <v>0.11068690365353012</v>
      </c>
      <c r="L17" s="201">
        <v>184421344.83000001</v>
      </c>
      <c r="M17" s="139">
        <f>L17/L18</f>
        <v>8.5611374298614901E-2</v>
      </c>
      <c r="N17" s="200">
        <f t="shared" si="3"/>
        <v>233</v>
      </c>
      <c r="O17" s="91">
        <f t="shared" si="6"/>
        <v>1.3328756936102054E-2</v>
      </c>
      <c r="P17" s="201">
        <f t="shared" si="4"/>
        <v>3401623.1400000155</v>
      </c>
      <c r="Q17" s="121">
        <f t="shared" si="5"/>
        <v>1.8791450501870536E-2</v>
      </c>
      <c r="R17" s="153"/>
      <c r="S17" s="153"/>
      <c r="T17" s="153"/>
      <c r="U17" s="153"/>
      <c r="V17" s="153"/>
      <c r="W17" s="153"/>
    </row>
    <row r="18" spans="1:23" ht="15.75" thickBot="1" x14ac:dyDescent="0.3">
      <c r="A18" s="114" t="s">
        <v>48</v>
      </c>
      <c r="B18" s="108">
        <f t="shared" ref="B18:I18" si="7">SUM(B9:B17)</f>
        <v>158341</v>
      </c>
      <c r="C18" s="109">
        <f t="shared" si="7"/>
        <v>0.99899684542586753</v>
      </c>
      <c r="D18" s="110">
        <f t="shared" si="7"/>
        <v>2028494500.1799998</v>
      </c>
      <c r="E18" s="111">
        <f t="shared" si="7"/>
        <v>1</v>
      </c>
      <c r="F18" s="108">
        <f t="shared" si="7"/>
        <v>158500</v>
      </c>
      <c r="G18" s="109">
        <f t="shared" si="7"/>
        <v>1</v>
      </c>
      <c r="H18" s="110">
        <f t="shared" si="7"/>
        <v>2041071506.4300001</v>
      </c>
      <c r="I18" s="111">
        <f t="shared" si="7"/>
        <v>0.99999999999999989</v>
      </c>
      <c r="J18" s="202">
        <f>SUM(J9:J17)</f>
        <v>160037</v>
      </c>
      <c r="K18" s="134">
        <f>SUM(K9:K17)</f>
        <v>1</v>
      </c>
      <c r="L18" s="203">
        <v>2154168722.8000002</v>
      </c>
      <c r="M18" s="134">
        <f>SUM(M9:M17)</f>
        <v>0.99999999999999989</v>
      </c>
      <c r="N18" s="108">
        <f>+J18-F18</f>
        <v>1537</v>
      </c>
      <c r="O18" s="109">
        <f>+(J18-F18)/F18</f>
        <v>9.6971608832807574E-3</v>
      </c>
      <c r="P18" s="110">
        <f>+L18-H18</f>
        <v>113097216.37000012</v>
      </c>
      <c r="Q18" s="134">
        <f>+(L18-H18)/H18</f>
        <v>5.5410707568896662E-2</v>
      </c>
      <c r="R18" s="204"/>
      <c r="S18" s="153"/>
      <c r="T18" s="153"/>
      <c r="U18" s="153"/>
      <c r="V18" s="153"/>
      <c r="W18" s="153"/>
    </row>
    <row r="19" spans="1:23" ht="9.75" customHeight="1" x14ac:dyDescent="0.25">
      <c r="A19" s="261" t="s">
        <v>154</v>
      </c>
      <c r="B19" s="261"/>
      <c r="C19" s="261"/>
      <c r="D19" s="261"/>
      <c r="E19" s="261"/>
      <c r="F19" s="261"/>
      <c r="G19" s="261"/>
      <c r="H19" s="261"/>
      <c r="I19" s="261"/>
      <c r="J19" s="205"/>
      <c r="K19" s="205"/>
      <c r="L19" s="205"/>
      <c r="M19" s="205"/>
      <c r="N19" s="205"/>
      <c r="O19" s="205"/>
      <c r="P19" s="205"/>
      <c r="Q19" s="205"/>
      <c r="R19" s="153"/>
      <c r="S19" s="153"/>
      <c r="T19" s="153"/>
      <c r="U19" s="153"/>
      <c r="V19" s="153"/>
      <c r="W19" s="153"/>
    </row>
    <row r="20" spans="1:23" x14ac:dyDescent="0.25">
      <c r="A20" s="16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</row>
    <row r="21" spans="1:23" x14ac:dyDescent="0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</row>
    <row r="22" spans="1:23" x14ac:dyDescent="0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</row>
    <row r="23" spans="1:23" x14ac:dyDescent="0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</row>
    <row r="24" spans="1:23" x14ac:dyDescent="0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</row>
    <row r="25" spans="1:23" x14ac:dyDescent="0.2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</row>
    <row r="26" spans="1:23" x14ac:dyDescent="0.2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</row>
    <row r="27" spans="1:23" x14ac:dyDescent="0.2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</row>
    <row r="28" spans="1:23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</row>
    <row r="29" spans="1:23" ht="15.75" thickBot="1" x14ac:dyDescent="0.3">
      <c r="A29" s="268" t="s">
        <v>57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153"/>
      <c r="S29" s="153"/>
      <c r="T29" s="153"/>
      <c r="U29" s="153"/>
      <c r="V29" s="153"/>
      <c r="W29" s="153"/>
    </row>
    <row r="30" spans="1:23" ht="34.5" customHeight="1" x14ac:dyDescent="0.25">
      <c r="A30" s="195"/>
      <c r="B30" s="263" t="s">
        <v>186</v>
      </c>
      <c r="C30" s="264"/>
      <c r="D30" s="264"/>
      <c r="E30" s="265"/>
      <c r="F30" s="266" t="s">
        <v>219</v>
      </c>
      <c r="G30" s="264"/>
      <c r="H30" s="264"/>
      <c r="I30" s="265"/>
      <c r="J30" s="266" t="s">
        <v>233</v>
      </c>
      <c r="K30" s="264"/>
      <c r="L30" s="264"/>
      <c r="M30" s="265"/>
      <c r="N30" s="263" t="s">
        <v>145</v>
      </c>
      <c r="O30" s="264"/>
      <c r="P30" s="264"/>
      <c r="Q30" s="265"/>
      <c r="R30" s="153"/>
      <c r="S30" s="153"/>
      <c r="T30" s="153"/>
      <c r="U30" s="153"/>
      <c r="V30" s="153"/>
      <c r="W30" s="153"/>
    </row>
    <row r="31" spans="1:23" ht="30" x14ac:dyDescent="0.25">
      <c r="A31" s="118" t="s">
        <v>58</v>
      </c>
      <c r="B31" s="206" t="s">
        <v>148</v>
      </c>
      <c r="C31" s="59" t="s">
        <v>41</v>
      </c>
      <c r="D31" s="59" t="s">
        <v>149</v>
      </c>
      <c r="E31" s="104" t="s">
        <v>41</v>
      </c>
      <c r="F31" s="59" t="s">
        <v>148</v>
      </c>
      <c r="G31" s="59" t="s">
        <v>41</v>
      </c>
      <c r="H31" s="59" t="s">
        <v>149</v>
      </c>
      <c r="I31" s="104" t="s">
        <v>41</v>
      </c>
      <c r="J31" s="59" t="s">
        <v>206</v>
      </c>
      <c r="K31" s="59" t="s">
        <v>41</v>
      </c>
      <c r="L31" s="59" t="s">
        <v>149</v>
      </c>
      <c r="M31" s="59" t="s">
        <v>41</v>
      </c>
      <c r="N31" s="199" t="s">
        <v>216</v>
      </c>
      <c r="O31" s="133" t="s">
        <v>218</v>
      </c>
      <c r="P31" s="133" t="s">
        <v>217</v>
      </c>
      <c r="Q31" s="135" t="s">
        <v>218</v>
      </c>
      <c r="R31" s="153"/>
      <c r="S31" s="153"/>
      <c r="T31" s="153"/>
      <c r="U31" s="153"/>
      <c r="V31" s="153"/>
      <c r="W31" s="153"/>
    </row>
    <row r="32" spans="1:23" x14ac:dyDescent="0.25">
      <c r="A32" s="119" t="s">
        <v>60</v>
      </c>
      <c r="B32" s="200">
        <v>45</v>
      </c>
      <c r="C32" s="91">
        <f>B32/$F$45</f>
        <v>3.5265352183317137E-4</v>
      </c>
      <c r="D32" s="201">
        <v>180816.53</v>
      </c>
      <c r="E32" s="136">
        <f>D32/D45</f>
        <v>1.1922558890621772E-4</v>
      </c>
      <c r="F32" s="207">
        <v>44</v>
      </c>
      <c r="G32" s="91">
        <f>F32/$F$45</f>
        <v>3.4481677690354536E-4</v>
      </c>
      <c r="H32" s="207">
        <v>176816.53</v>
      </c>
      <c r="I32" s="121">
        <f>H32/H45</f>
        <v>1.1549369179887859E-4</v>
      </c>
      <c r="J32" s="207">
        <v>42</v>
      </c>
      <c r="K32" s="140">
        <f>J32/$J$45</f>
        <v>3.0300625491483358E-4</v>
      </c>
      <c r="L32" s="208">
        <v>168816.53</v>
      </c>
      <c r="M32" s="140">
        <f>L32/$L$45</f>
        <v>1.0009156210643812E-4</v>
      </c>
      <c r="N32" s="200">
        <f>+J32-F32</f>
        <v>-2</v>
      </c>
      <c r="O32" s="91">
        <f>+(J32-F32)/F32</f>
        <v>-4.5454545454545456E-2</v>
      </c>
      <c r="P32" s="201">
        <f>+L32-H32</f>
        <v>-8000</v>
      </c>
      <c r="Q32" s="136">
        <f>+(L32-H32)/H32</f>
        <v>-4.5244638609297443E-2</v>
      </c>
      <c r="R32" s="153"/>
      <c r="S32" s="153"/>
      <c r="T32" s="153"/>
      <c r="U32" s="153"/>
      <c r="V32" s="153"/>
      <c r="W32" s="153"/>
    </row>
    <row r="33" spans="1:23" s="55" customFormat="1" x14ac:dyDescent="0.25">
      <c r="A33" s="119" t="s">
        <v>61</v>
      </c>
      <c r="B33" s="200">
        <v>1</v>
      </c>
      <c r="C33" s="93">
        <f>B33/$F$45</f>
        <v>7.8367449296260299E-6</v>
      </c>
      <c r="D33" s="201">
        <v>5117.5</v>
      </c>
      <c r="E33" s="136">
        <f>D33/D45</f>
        <v>3.3743427729067091E-6</v>
      </c>
      <c r="F33" s="207">
        <v>1</v>
      </c>
      <c r="G33" s="93">
        <f>F33/$F$45</f>
        <v>7.8367449296260299E-6</v>
      </c>
      <c r="H33" s="207">
        <v>5117.5</v>
      </c>
      <c r="I33" s="122">
        <f>H33/H45</f>
        <v>3.3426680626565917E-6</v>
      </c>
      <c r="J33" s="207">
        <v>1</v>
      </c>
      <c r="K33" s="140">
        <f t="shared" ref="K33:K44" si="8">J33/$J$45</f>
        <v>7.2144346408293717E-6</v>
      </c>
      <c r="L33" s="208">
        <v>5117.5</v>
      </c>
      <c r="M33" s="140">
        <f t="shared" ref="M33:M44" si="9">L33/$L$45</f>
        <v>3.0341730698984103E-6</v>
      </c>
      <c r="N33" s="200">
        <f t="shared" ref="N33:N44" si="10">+J33-F33</f>
        <v>0</v>
      </c>
      <c r="O33" s="91">
        <f t="shared" ref="O33:O44" si="11">+(J33-F33)/F33</f>
        <v>0</v>
      </c>
      <c r="P33" s="201">
        <f t="shared" ref="P33:P45" si="12">+L33-H33</f>
        <v>0</v>
      </c>
      <c r="Q33" s="136">
        <f t="shared" ref="Q33:Q45" si="13">+(L33-H33)/H33</f>
        <v>0</v>
      </c>
      <c r="R33" s="197"/>
      <c r="S33" s="197"/>
      <c r="T33" s="197"/>
      <c r="U33" s="197"/>
      <c r="V33" s="197"/>
      <c r="W33" s="197"/>
    </row>
    <row r="34" spans="1:23" x14ac:dyDescent="0.25">
      <c r="A34" s="120" t="s">
        <v>101</v>
      </c>
      <c r="B34" s="200">
        <v>92637</v>
      </c>
      <c r="C34" s="91">
        <f>B34/$F$45</f>
        <v>0.72597254004576661</v>
      </c>
      <c r="D34" s="201">
        <v>743156809.96000004</v>
      </c>
      <c r="E34" s="136">
        <f>D34/D45</f>
        <v>0.49001774515387025</v>
      </c>
      <c r="F34" s="207">
        <v>91543</v>
      </c>
      <c r="G34" s="91">
        <f>F34/$F$45</f>
        <v>0.71739914109275571</v>
      </c>
      <c r="H34" s="207">
        <v>734388808.12</v>
      </c>
      <c r="I34" s="106">
        <f>H34/H45</f>
        <v>0.47969086750858114</v>
      </c>
      <c r="J34" s="209">
        <v>100541</v>
      </c>
      <c r="K34" s="140">
        <f t="shared" si="8"/>
        <v>0.72534647322362578</v>
      </c>
      <c r="L34" s="208">
        <v>786797962.47000003</v>
      </c>
      <c r="M34" s="140">
        <f t="shared" si="9"/>
        <v>0.46649363735757976</v>
      </c>
      <c r="N34" s="200">
        <f t="shared" si="10"/>
        <v>8998</v>
      </c>
      <c r="O34" s="91">
        <f t="shared" si="11"/>
        <v>9.8292605660727742E-2</v>
      </c>
      <c r="P34" s="201">
        <f t="shared" si="12"/>
        <v>52409154.350000024</v>
      </c>
      <c r="Q34" s="136">
        <f t="shared" si="13"/>
        <v>7.1364315156388261E-2</v>
      </c>
      <c r="R34" s="153"/>
      <c r="S34" s="153"/>
      <c r="T34" s="153"/>
      <c r="U34" s="153"/>
      <c r="V34" s="153"/>
      <c r="W34" s="153"/>
    </row>
    <row r="35" spans="1:23" x14ac:dyDescent="0.25">
      <c r="A35" s="120" t="s">
        <v>100</v>
      </c>
      <c r="B35" s="200">
        <v>19649</v>
      </c>
      <c r="C35" s="91">
        <f t="shared" ref="C35:C44" si="14">B35/$F$45</f>
        <v>0.15398420112222189</v>
      </c>
      <c r="D35" s="201">
        <v>242377945.27000001</v>
      </c>
      <c r="E35" s="136">
        <f>D35/D45</f>
        <v>0.15981754136469026</v>
      </c>
      <c r="F35" s="207">
        <v>21220</v>
      </c>
      <c r="G35" s="91">
        <f t="shared" ref="G35:G44" si="15">F35/$F$45</f>
        <v>0.16629572740666437</v>
      </c>
      <c r="H35" s="207">
        <v>258148105.94</v>
      </c>
      <c r="I35" s="106">
        <f>H35/H45</f>
        <v>0.16861815909348871</v>
      </c>
      <c r="J35" s="207">
        <v>22135</v>
      </c>
      <c r="K35" s="140">
        <f t="shared" si="8"/>
        <v>0.15969151077475813</v>
      </c>
      <c r="L35" s="208">
        <v>266978450.68000001</v>
      </c>
      <c r="M35" s="140">
        <f t="shared" si="9"/>
        <v>0.15829190528509174</v>
      </c>
      <c r="N35" s="200">
        <f t="shared" si="10"/>
        <v>915</v>
      </c>
      <c r="O35" s="91">
        <f t="shared" si="11"/>
        <v>4.3119698397737986E-2</v>
      </c>
      <c r="P35" s="201">
        <f t="shared" si="12"/>
        <v>8830344.7400000095</v>
      </c>
      <c r="Q35" s="136">
        <f t="shared" si="13"/>
        <v>3.420650602043309E-2</v>
      </c>
      <c r="R35" s="153"/>
      <c r="S35" s="153"/>
      <c r="T35" s="153"/>
      <c r="U35" s="153"/>
      <c r="V35" s="153"/>
      <c r="W35" s="153"/>
    </row>
    <row r="36" spans="1:23" ht="15" customHeight="1" x14ac:dyDescent="0.25">
      <c r="A36" s="120" t="s">
        <v>102</v>
      </c>
      <c r="B36" s="200">
        <v>6559</v>
      </c>
      <c r="C36" s="91">
        <f t="shared" si="14"/>
        <v>5.1401209993417137E-2</v>
      </c>
      <c r="D36" s="201">
        <v>160967038.59999999</v>
      </c>
      <c r="E36" s="136">
        <f>D36/D45</f>
        <v>0.10613736460695755</v>
      </c>
      <c r="F36" s="207">
        <v>6548</v>
      </c>
      <c r="G36" s="91">
        <f t="shared" si="15"/>
        <v>5.1315005799191245E-2</v>
      </c>
      <c r="H36" s="207">
        <v>160706589.02000001</v>
      </c>
      <c r="I36" s="106">
        <f>H36/H45</f>
        <v>0.10497093943832585</v>
      </c>
      <c r="J36" s="207">
        <v>6458</v>
      </c>
      <c r="K36" s="140">
        <f t="shared" si="8"/>
        <v>4.6590818910476083E-2</v>
      </c>
      <c r="L36" s="208">
        <v>158388844.46000001</v>
      </c>
      <c r="M36" s="140">
        <f t="shared" si="9"/>
        <v>9.3908972434364454E-2</v>
      </c>
      <c r="N36" s="200">
        <f t="shared" si="10"/>
        <v>-90</v>
      </c>
      <c r="O36" s="91">
        <f t="shared" si="11"/>
        <v>-1.3744654856444716E-2</v>
      </c>
      <c r="P36" s="201">
        <f t="shared" si="12"/>
        <v>-2317744.5600000024</v>
      </c>
      <c r="Q36" s="136">
        <f t="shared" si="13"/>
        <v>-1.4422212394238285E-2</v>
      </c>
      <c r="R36" s="153"/>
      <c r="S36" s="153"/>
      <c r="T36" s="153"/>
      <c r="U36" s="153"/>
      <c r="V36" s="153"/>
      <c r="W36" s="153"/>
    </row>
    <row r="37" spans="1:23" x14ac:dyDescent="0.25">
      <c r="A37" s="120" t="s">
        <v>103</v>
      </c>
      <c r="B37" s="200">
        <v>3631</v>
      </c>
      <c r="C37" s="91">
        <f t="shared" si="14"/>
        <v>2.8455220839472117E-2</v>
      </c>
      <c r="D37" s="201">
        <v>121803583.56</v>
      </c>
      <c r="E37" s="136">
        <f>D37/D45</f>
        <v>8.0314028705388271E-2</v>
      </c>
      <c r="F37" s="207">
        <v>3632</v>
      </c>
      <c r="G37" s="91">
        <f t="shared" si="15"/>
        <v>2.8463057584401742E-2</v>
      </c>
      <c r="H37" s="207">
        <v>121874426.85000001</v>
      </c>
      <c r="I37" s="106">
        <f>H37/H45</f>
        <v>7.9606400446716574E-2</v>
      </c>
      <c r="J37" s="207">
        <v>3494</v>
      </c>
      <c r="K37" s="140">
        <f t="shared" si="8"/>
        <v>2.5207234635057824E-2</v>
      </c>
      <c r="L37" s="208">
        <v>117150702.70999999</v>
      </c>
      <c r="M37" s="140">
        <f t="shared" si="9"/>
        <v>6.9458819205150304E-2</v>
      </c>
      <c r="N37" s="200">
        <f t="shared" si="10"/>
        <v>-138</v>
      </c>
      <c r="O37" s="91">
        <f t="shared" si="11"/>
        <v>-3.7995594713656385E-2</v>
      </c>
      <c r="P37" s="201">
        <f t="shared" si="12"/>
        <v>-4723724.1400000155</v>
      </c>
      <c r="Q37" s="136">
        <f t="shared" si="13"/>
        <v>-3.8758944448730466E-2</v>
      </c>
      <c r="R37" s="153"/>
      <c r="S37" s="153"/>
      <c r="T37" s="153"/>
      <c r="U37" s="153"/>
      <c r="V37" s="153"/>
      <c r="W37" s="153"/>
    </row>
    <row r="38" spans="1:23" x14ac:dyDescent="0.25">
      <c r="A38" s="120" t="s">
        <v>104</v>
      </c>
      <c r="B38" s="200">
        <v>2221</v>
      </c>
      <c r="C38" s="91">
        <f t="shared" si="14"/>
        <v>1.7405410488699414E-2</v>
      </c>
      <c r="D38" s="201">
        <v>96614948.510000005</v>
      </c>
      <c r="E38" s="136">
        <f>D38/D45</f>
        <v>6.3705315732188059E-2</v>
      </c>
      <c r="F38" s="207">
        <v>2268</v>
      </c>
      <c r="G38" s="91">
        <f t="shared" si="15"/>
        <v>1.7773737500391837E-2</v>
      </c>
      <c r="H38" s="207">
        <v>98519359.400000006</v>
      </c>
      <c r="I38" s="106">
        <f>H38/H45</f>
        <v>6.4351248894922622E-2</v>
      </c>
      <c r="J38" s="207">
        <v>1927</v>
      </c>
      <c r="K38" s="140">
        <f t="shared" si="8"/>
        <v>1.3902215552878199E-2</v>
      </c>
      <c r="L38" s="208">
        <v>82950871.25</v>
      </c>
      <c r="M38" s="140">
        <f t="shared" si="9"/>
        <v>4.9181690214237475E-2</v>
      </c>
      <c r="N38" s="200">
        <f t="shared" si="10"/>
        <v>-341</v>
      </c>
      <c r="O38" s="91">
        <f t="shared" si="11"/>
        <v>-0.15035273368606702</v>
      </c>
      <c r="P38" s="201">
        <f t="shared" si="12"/>
        <v>-15568488.150000006</v>
      </c>
      <c r="Q38" s="136">
        <f t="shared" si="13"/>
        <v>-0.15802465875554611</v>
      </c>
      <c r="R38" s="153"/>
      <c r="S38" s="153"/>
      <c r="T38" s="153"/>
      <c r="U38" s="153"/>
      <c r="V38" s="153"/>
      <c r="W38" s="153"/>
    </row>
    <row r="39" spans="1:23" x14ac:dyDescent="0.25">
      <c r="A39" s="120" t="s">
        <v>105</v>
      </c>
      <c r="B39" s="200">
        <v>1221</v>
      </c>
      <c r="C39" s="91">
        <f t="shared" si="14"/>
        <v>9.5686655590733836E-3</v>
      </c>
      <c r="D39" s="201">
        <v>64358921.82</v>
      </c>
      <c r="E39" s="136">
        <f>D39/D45</f>
        <v>4.2436553535004383E-2</v>
      </c>
      <c r="F39" s="207">
        <v>1235</v>
      </c>
      <c r="G39" s="91">
        <f t="shared" si="15"/>
        <v>9.6783799880881469E-3</v>
      </c>
      <c r="H39" s="207">
        <v>65119191.870000005</v>
      </c>
      <c r="I39" s="106">
        <f>H39/H45</f>
        <v>4.2534800767924923E-2</v>
      </c>
      <c r="J39" s="207">
        <v>2054</v>
      </c>
      <c r="K39" s="140">
        <f t="shared" si="8"/>
        <v>1.4818448752263529E-2</v>
      </c>
      <c r="L39" s="208">
        <v>106691318.32000001</v>
      </c>
      <c r="M39" s="140">
        <f t="shared" si="9"/>
        <v>6.3257435239570683E-2</v>
      </c>
      <c r="N39" s="200">
        <f t="shared" si="10"/>
        <v>819</v>
      </c>
      <c r="O39" s="91">
        <f t="shared" si="11"/>
        <v>0.66315789473684206</v>
      </c>
      <c r="P39" s="201">
        <f t="shared" si="12"/>
        <v>41572126.450000003</v>
      </c>
      <c r="Q39" s="136">
        <f t="shared" si="13"/>
        <v>0.63840052765077415</v>
      </c>
      <c r="R39" s="153"/>
      <c r="S39" s="153"/>
      <c r="T39" s="153"/>
      <c r="U39" s="153"/>
      <c r="V39" s="153"/>
      <c r="W39" s="153"/>
    </row>
    <row r="40" spans="1:23" x14ac:dyDescent="0.25">
      <c r="A40" s="120" t="s">
        <v>106</v>
      </c>
      <c r="B40" s="200">
        <v>264</v>
      </c>
      <c r="C40" s="91">
        <f t="shared" si="14"/>
        <v>2.0689006614212722E-3</v>
      </c>
      <c r="D40" s="201">
        <v>16486969.1</v>
      </c>
      <c r="E40" s="136">
        <f>D40/D45</f>
        <v>1.0871066933018316E-2</v>
      </c>
      <c r="F40" s="207">
        <v>278</v>
      </c>
      <c r="G40" s="91">
        <f t="shared" si="15"/>
        <v>2.1786150904360363E-3</v>
      </c>
      <c r="H40" s="207">
        <v>17374248.990000002</v>
      </c>
      <c r="I40" s="106">
        <f>H40/H45</f>
        <v>1.1348577862533767E-2</v>
      </c>
      <c r="J40" s="207">
        <v>658</v>
      </c>
      <c r="K40" s="140">
        <f t="shared" si="8"/>
        <v>4.7470979936657266E-3</v>
      </c>
      <c r="L40" s="208">
        <v>42436520.219999999</v>
      </c>
      <c r="M40" s="140">
        <f t="shared" si="9"/>
        <v>2.5160673538197044E-2</v>
      </c>
      <c r="N40" s="200">
        <f t="shared" si="10"/>
        <v>380</v>
      </c>
      <c r="O40" s="91">
        <f t="shared" si="11"/>
        <v>1.3669064748201438</v>
      </c>
      <c r="P40" s="201">
        <f t="shared" si="12"/>
        <v>25062271.229999997</v>
      </c>
      <c r="Q40" s="136">
        <f t="shared" si="13"/>
        <v>1.4424952263792781</v>
      </c>
      <c r="R40" s="153"/>
      <c r="S40" s="153"/>
      <c r="T40" s="153"/>
      <c r="U40" s="153"/>
      <c r="V40" s="153"/>
      <c r="W40" s="153"/>
    </row>
    <row r="41" spans="1:23" ht="15" customHeight="1" x14ac:dyDescent="0.25">
      <c r="A41" s="120" t="s">
        <v>107</v>
      </c>
      <c r="B41" s="200">
        <v>185</v>
      </c>
      <c r="C41" s="91">
        <f t="shared" si="14"/>
        <v>1.4497978119808155E-3</v>
      </c>
      <c r="D41" s="201">
        <v>13604524.550000001</v>
      </c>
      <c r="E41" s="136">
        <f>D41/D45</f>
        <v>8.970460008622257E-3</v>
      </c>
      <c r="F41" s="207">
        <v>200</v>
      </c>
      <c r="G41" s="91">
        <f t="shared" si="15"/>
        <v>1.5673489859252062E-3</v>
      </c>
      <c r="H41" s="207">
        <v>14705196.380000001</v>
      </c>
      <c r="I41" s="106">
        <f>H41/H45</f>
        <v>9.6051959539852124E-3</v>
      </c>
      <c r="J41" s="207">
        <v>342</v>
      </c>
      <c r="K41" s="140">
        <f t="shared" si="8"/>
        <v>2.4673366471636448E-3</v>
      </c>
      <c r="L41" s="208">
        <v>25033186.670000002</v>
      </c>
      <c r="M41" s="140">
        <f t="shared" si="9"/>
        <v>1.4842212183264069E-2</v>
      </c>
      <c r="N41" s="200">
        <f t="shared" si="10"/>
        <v>142</v>
      </c>
      <c r="O41" s="91">
        <f t="shared" si="11"/>
        <v>0.71</v>
      </c>
      <c r="P41" s="201">
        <f t="shared" si="12"/>
        <v>10327990.290000001</v>
      </c>
      <c r="Q41" s="136">
        <f t="shared" si="13"/>
        <v>0.70233610100214117</v>
      </c>
      <c r="R41" s="153"/>
      <c r="S41" s="153"/>
      <c r="T41" s="153"/>
      <c r="U41" s="153"/>
      <c r="V41" s="153"/>
      <c r="W41" s="153"/>
    </row>
    <row r="42" spans="1:23" x14ac:dyDescent="0.25">
      <c r="A42" s="120" t="s">
        <v>108</v>
      </c>
      <c r="B42" s="200">
        <v>254</v>
      </c>
      <c r="C42" s="91">
        <f t="shared" si="14"/>
        <v>1.9905332121250116E-3</v>
      </c>
      <c r="D42" s="201">
        <v>21265395.830000002</v>
      </c>
      <c r="E42" s="136">
        <f>D42/D45</f>
        <v>1.4021833850896136E-2</v>
      </c>
      <c r="F42" s="207">
        <v>285</v>
      </c>
      <c r="G42" s="91">
        <f t="shared" si="15"/>
        <v>2.2334723049434188E-3</v>
      </c>
      <c r="H42" s="207">
        <v>23755245.830000002</v>
      </c>
      <c r="I42" s="106">
        <f>H42/H45</f>
        <v>1.5516541584073704E-2</v>
      </c>
      <c r="J42" s="207">
        <v>338</v>
      </c>
      <c r="K42" s="140">
        <f t="shared" si="8"/>
        <v>2.4384789086003274E-3</v>
      </c>
      <c r="L42" s="208">
        <v>28058809.91</v>
      </c>
      <c r="M42" s="140">
        <f t="shared" si="9"/>
        <v>1.6636108530008919E-2</v>
      </c>
      <c r="N42" s="200">
        <f t="shared" si="10"/>
        <v>53</v>
      </c>
      <c r="O42" s="91">
        <f t="shared" si="11"/>
        <v>0.18596491228070175</v>
      </c>
      <c r="P42" s="201">
        <f t="shared" si="12"/>
        <v>4303564.0799999982</v>
      </c>
      <c r="Q42" s="136">
        <f t="shared" si="13"/>
        <v>0.18116268342570116</v>
      </c>
      <c r="R42" s="153"/>
      <c r="S42" s="153"/>
      <c r="T42" s="153"/>
      <c r="U42" s="153"/>
      <c r="V42" s="153"/>
      <c r="W42" s="153"/>
    </row>
    <row r="43" spans="1:23" x14ac:dyDescent="0.25">
      <c r="A43" s="120" t="s">
        <v>109</v>
      </c>
      <c r="B43" s="200">
        <v>299</v>
      </c>
      <c r="C43" s="91">
        <f t="shared" si="14"/>
        <v>2.343186733958183E-3</v>
      </c>
      <c r="D43" s="201">
        <v>28698863.350000001</v>
      </c>
      <c r="E43" s="136">
        <f>D43/D45</f>
        <v>1.8923263729498728E-2</v>
      </c>
      <c r="F43" s="207">
        <v>299</v>
      </c>
      <c r="G43" s="91">
        <f t="shared" si="15"/>
        <v>2.343186733958183E-3</v>
      </c>
      <c r="H43" s="207">
        <v>28698863.350000001</v>
      </c>
      <c r="I43" s="106">
        <f>H43/H45</f>
        <v>1.8745632428840406E-2</v>
      </c>
      <c r="J43" s="207">
        <v>313</v>
      </c>
      <c r="K43" s="140">
        <f t="shared" si="8"/>
        <v>2.2581180425795934E-3</v>
      </c>
      <c r="L43" s="208">
        <v>30024770.379999999</v>
      </c>
      <c r="M43" s="140">
        <f t="shared" si="9"/>
        <v>1.7801729304715089E-2</v>
      </c>
      <c r="N43" s="200">
        <f t="shared" si="10"/>
        <v>14</v>
      </c>
      <c r="O43" s="91">
        <f t="shared" si="11"/>
        <v>4.6822742474916385E-2</v>
      </c>
      <c r="P43" s="201">
        <f t="shared" si="12"/>
        <v>1325907.0299999975</v>
      </c>
      <c r="Q43" s="136">
        <f t="shared" si="13"/>
        <v>4.6200680975750121E-2</v>
      </c>
      <c r="R43" s="153"/>
      <c r="S43" s="153"/>
      <c r="T43" s="153"/>
      <c r="U43" s="153"/>
      <c r="V43" s="153"/>
      <c r="W43" s="153"/>
    </row>
    <row r="44" spans="1:23" x14ac:dyDescent="0.25">
      <c r="A44" s="120" t="s">
        <v>62</v>
      </c>
      <c r="B44" s="200">
        <v>47</v>
      </c>
      <c r="C44" s="91">
        <f t="shared" si="14"/>
        <v>3.6832701169242345E-4</v>
      </c>
      <c r="D44" s="201">
        <v>7070693.6000000006</v>
      </c>
      <c r="E44" s="136">
        <f>D44/D45</f>
        <v>4.6622264481871473E-3</v>
      </c>
      <c r="F44" s="207">
        <v>51</v>
      </c>
      <c r="G44" s="91">
        <f t="shared" si="15"/>
        <v>3.9967399141092755E-4</v>
      </c>
      <c r="H44" s="207">
        <v>7490693.6000000006</v>
      </c>
      <c r="I44" s="107">
        <f>H44/H45</f>
        <v>4.8927996607457027E-3</v>
      </c>
      <c r="J44" s="207">
        <v>308</v>
      </c>
      <c r="K44" s="140">
        <f t="shared" si="8"/>
        <v>2.2220458693754464E-3</v>
      </c>
      <c r="L44" s="208">
        <v>41935623.189999998</v>
      </c>
      <c r="M44" s="140">
        <f t="shared" si="9"/>
        <v>2.4863690972643921E-2</v>
      </c>
      <c r="N44" s="200">
        <f t="shared" si="10"/>
        <v>257</v>
      </c>
      <c r="O44" s="91">
        <f t="shared" si="11"/>
        <v>5.0392156862745097</v>
      </c>
      <c r="P44" s="201">
        <f t="shared" si="12"/>
        <v>34444929.589999996</v>
      </c>
      <c r="Q44" s="136">
        <f t="shared" si="13"/>
        <v>4.5983631729376828</v>
      </c>
      <c r="R44" s="153"/>
      <c r="S44" s="153"/>
      <c r="T44" s="153"/>
      <c r="U44" s="153"/>
      <c r="V44" s="153"/>
      <c r="W44" s="153"/>
    </row>
    <row r="45" spans="1:23" ht="15.75" thickBot="1" x14ac:dyDescent="0.3">
      <c r="A45" s="114" t="s">
        <v>48</v>
      </c>
      <c r="B45" s="108">
        <f t="shared" ref="B45:I45" si="16">SUM(B32:B44)</f>
        <v>127013</v>
      </c>
      <c r="C45" s="109">
        <f t="shared" si="16"/>
        <v>0.99536848374659115</v>
      </c>
      <c r="D45" s="110">
        <f t="shared" si="16"/>
        <v>1516591628.1799994</v>
      </c>
      <c r="E45" s="111">
        <f t="shared" si="16"/>
        <v>1.0000000000000007</v>
      </c>
      <c r="F45" s="110">
        <f t="shared" si="16"/>
        <v>127604</v>
      </c>
      <c r="G45" s="109">
        <f t="shared" si="16"/>
        <v>1</v>
      </c>
      <c r="H45" s="110">
        <f t="shared" si="16"/>
        <v>1530962663.3799999</v>
      </c>
      <c r="I45" s="111">
        <f t="shared" si="16"/>
        <v>1</v>
      </c>
      <c r="J45" s="110">
        <f>SUM(J32:J44)</f>
        <v>138611</v>
      </c>
      <c r="K45" s="109">
        <f>SUM(K32:K44)</f>
        <v>0.99999999999999989</v>
      </c>
      <c r="L45" s="110">
        <f>SUM(L32:L44)</f>
        <v>1686620994.2900004</v>
      </c>
      <c r="M45" s="109">
        <f>SUM(M32:M44)</f>
        <v>1</v>
      </c>
      <c r="N45" s="108">
        <f>+J45-F45</f>
        <v>11007</v>
      </c>
      <c r="O45" s="109">
        <f>+(J45-F45)/F45</f>
        <v>8.6259051440393725E-2</v>
      </c>
      <c r="P45" s="203">
        <f t="shared" si="12"/>
        <v>155658330.91000056</v>
      </c>
      <c r="Q45" s="142">
        <f t="shared" si="13"/>
        <v>0.10167349905604109</v>
      </c>
      <c r="R45" s="153"/>
      <c r="S45" s="163"/>
      <c r="T45" s="163"/>
      <c r="U45" s="153"/>
      <c r="V45" s="153"/>
      <c r="W45" s="153"/>
    </row>
    <row r="46" spans="1:23" x14ac:dyDescent="0.25">
      <c r="A46" s="210" t="s">
        <v>237</v>
      </c>
      <c r="B46" s="158"/>
      <c r="C46" s="158"/>
      <c r="D46" s="158"/>
      <c r="E46" s="153"/>
      <c r="F46" s="158"/>
      <c r="G46" s="158"/>
      <c r="H46" s="158"/>
      <c r="I46" s="153"/>
      <c r="J46" s="153"/>
      <c r="K46" s="153"/>
      <c r="L46" s="153"/>
      <c r="M46" s="153"/>
      <c r="N46" s="158"/>
      <c r="O46" s="158"/>
      <c r="P46" s="158"/>
      <c r="Q46" s="153"/>
      <c r="R46" s="153"/>
      <c r="S46" s="153"/>
      <c r="T46" s="153"/>
      <c r="U46" s="153"/>
      <c r="V46" s="153"/>
      <c r="W46" s="153"/>
    </row>
    <row r="47" spans="1:23" x14ac:dyDescent="0.25">
      <c r="A47" s="162" t="s">
        <v>155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8" spans="1:23" x14ac:dyDescent="0.2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</row>
    <row r="49" spans="1:23" x14ac:dyDescent="0.2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</row>
    <row r="50" spans="1:23" ht="15.75" thickBot="1" x14ac:dyDescent="0.3">
      <c r="A50" s="268" t="s">
        <v>63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153"/>
      <c r="S50" s="153"/>
      <c r="T50" s="153"/>
      <c r="U50" s="153"/>
      <c r="V50" s="153"/>
      <c r="W50" s="153"/>
    </row>
    <row r="51" spans="1:23" ht="33" customHeight="1" x14ac:dyDescent="0.25">
      <c r="A51" s="195"/>
      <c r="B51" s="263" t="s">
        <v>186</v>
      </c>
      <c r="C51" s="264"/>
      <c r="D51" s="264"/>
      <c r="E51" s="265"/>
      <c r="F51" s="266" t="s">
        <v>219</v>
      </c>
      <c r="G51" s="264"/>
      <c r="H51" s="264"/>
      <c r="I51" s="265"/>
      <c r="J51" s="266" t="s">
        <v>233</v>
      </c>
      <c r="K51" s="264"/>
      <c r="L51" s="264"/>
      <c r="M51" s="265"/>
      <c r="N51" s="263" t="s">
        <v>145</v>
      </c>
      <c r="O51" s="264"/>
      <c r="P51" s="264"/>
      <c r="Q51" s="265"/>
      <c r="R51" s="153"/>
      <c r="S51" s="153"/>
      <c r="T51" s="153"/>
      <c r="U51" s="153"/>
      <c r="V51" s="153"/>
      <c r="W51" s="153"/>
    </row>
    <row r="52" spans="1:23" ht="30" x14ac:dyDescent="0.25">
      <c r="A52" s="124" t="s">
        <v>58</v>
      </c>
      <c r="B52" s="206" t="s">
        <v>148</v>
      </c>
      <c r="C52" s="59" t="s">
        <v>41</v>
      </c>
      <c r="D52" s="59" t="s">
        <v>149</v>
      </c>
      <c r="E52" s="104" t="s">
        <v>41</v>
      </c>
      <c r="F52" s="59" t="s">
        <v>148</v>
      </c>
      <c r="G52" s="59" t="s">
        <v>41</v>
      </c>
      <c r="H52" s="59" t="s">
        <v>149</v>
      </c>
      <c r="I52" s="104" t="s">
        <v>41</v>
      </c>
      <c r="J52" s="59" t="s">
        <v>206</v>
      </c>
      <c r="K52" s="59" t="s">
        <v>41</v>
      </c>
      <c r="L52" s="59" t="s">
        <v>149</v>
      </c>
      <c r="M52" s="59" t="s">
        <v>41</v>
      </c>
      <c r="N52" s="199" t="s">
        <v>216</v>
      </c>
      <c r="O52" s="133" t="s">
        <v>218</v>
      </c>
      <c r="P52" s="133" t="s">
        <v>217</v>
      </c>
      <c r="Q52" s="135" t="s">
        <v>218</v>
      </c>
      <c r="R52" s="153"/>
      <c r="S52" s="153"/>
      <c r="T52" s="153"/>
      <c r="U52" s="153"/>
      <c r="V52" s="153"/>
      <c r="W52" s="153"/>
    </row>
    <row r="53" spans="1:23" ht="18" hidden="1" customHeight="1" x14ac:dyDescent="0.25">
      <c r="A53" s="125" t="s">
        <v>118</v>
      </c>
      <c r="B53" s="200">
        <v>0</v>
      </c>
      <c r="C53" s="92">
        <f t="shared" ref="C53:C63" si="17">B53/$F$64</f>
        <v>0</v>
      </c>
      <c r="D53" s="211">
        <v>0</v>
      </c>
      <c r="E53" s="127">
        <f>D53/D64</f>
        <v>0</v>
      </c>
      <c r="F53" s="207">
        <v>0</v>
      </c>
      <c r="G53" s="92">
        <f t="shared" ref="G53:G63" si="18">F53/$F$64</f>
        <v>0</v>
      </c>
      <c r="H53" s="208">
        <v>0</v>
      </c>
      <c r="I53" s="127">
        <f>H53/H64</f>
        <v>0</v>
      </c>
      <c r="J53" s="141"/>
      <c r="K53" s="141"/>
      <c r="L53" s="141"/>
      <c r="M53" s="141"/>
      <c r="N53" s="200">
        <f t="shared" ref="N53" si="19">+F53-B53</f>
        <v>0</v>
      </c>
      <c r="O53" s="92"/>
      <c r="P53" s="211">
        <f t="shared" ref="P53" si="20">+H53-D53</f>
        <v>0</v>
      </c>
      <c r="Q53" s="127"/>
      <c r="R53" s="153"/>
      <c r="S53" s="153"/>
      <c r="T53" s="153"/>
      <c r="U53" s="153"/>
      <c r="V53" s="153"/>
      <c r="W53" s="153"/>
    </row>
    <row r="54" spans="1:23" x14ac:dyDescent="0.25">
      <c r="A54" s="119" t="s">
        <v>110</v>
      </c>
      <c r="B54" s="200">
        <v>8</v>
      </c>
      <c r="C54" s="91">
        <f t="shared" si="17"/>
        <v>6.9496929104445195E-5</v>
      </c>
      <c r="D54" s="211">
        <v>120807.35</v>
      </c>
      <c r="E54" s="136">
        <f>D54/D64</f>
        <v>7.9657138912850257E-5</v>
      </c>
      <c r="F54" s="207">
        <v>10</v>
      </c>
      <c r="G54" s="91">
        <f t="shared" si="18"/>
        <v>8.6871161380556503E-5</v>
      </c>
      <c r="H54" s="207">
        <v>153307.35</v>
      </c>
      <c r="I54" s="121">
        <f>H54/H64</f>
        <v>1.001378764270671E-4</v>
      </c>
      <c r="J54" s="207">
        <v>10</v>
      </c>
      <c r="K54" s="140">
        <f>J54/$J$64</f>
        <v>8.591581967987765E-5</v>
      </c>
      <c r="L54" s="208">
        <v>153307.35</v>
      </c>
      <c r="M54" s="140">
        <f>L54/$L$64</f>
        <v>9.4170117585817156E-5</v>
      </c>
      <c r="N54" s="200">
        <f>+J54-F54</f>
        <v>0</v>
      </c>
      <c r="O54" s="93">
        <f>+(J54-F54)/F54</f>
        <v>0</v>
      </c>
      <c r="P54" s="212">
        <f>+L54-H54</f>
        <v>0</v>
      </c>
      <c r="Q54" s="137">
        <f>+(L54-H54)/H54</f>
        <v>0</v>
      </c>
      <c r="R54" s="153"/>
      <c r="S54" s="153"/>
      <c r="T54" s="153"/>
      <c r="U54" s="153"/>
      <c r="V54" s="153"/>
      <c r="W54" s="153"/>
    </row>
    <row r="55" spans="1:23" x14ac:dyDescent="0.25">
      <c r="A55" s="119" t="s">
        <v>111</v>
      </c>
      <c r="B55" s="200">
        <v>86</v>
      </c>
      <c r="C55" s="91">
        <f t="shared" si="17"/>
        <v>7.4709198787278582E-4</v>
      </c>
      <c r="D55" s="211">
        <v>1322300.99</v>
      </c>
      <c r="E55" s="136">
        <f>D55/D64</f>
        <v>8.718899441551314E-4</v>
      </c>
      <c r="F55" s="207">
        <v>87</v>
      </c>
      <c r="G55" s="91">
        <f t="shared" si="18"/>
        <v>7.5577910401084154E-4</v>
      </c>
      <c r="H55" s="207">
        <v>1330300.99</v>
      </c>
      <c r="I55" s="121">
        <f>H55/H64</f>
        <v>8.6893104699432237E-4</v>
      </c>
      <c r="J55" s="207">
        <v>83</v>
      </c>
      <c r="K55" s="140">
        <f t="shared" ref="K55:K63" si="21">J55/$J$64</f>
        <v>7.1310130334298458E-4</v>
      </c>
      <c r="L55" s="208">
        <v>1293655.93</v>
      </c>
      <c r="M55" s="140">
        <f t="shared" ref="M55:M63" si="22">L55/$L$64</f>
        <v>7.9463725022766124E-4</v>
      </c>
      <c r="N55" s="200">
        <f t="shared" ref="N55:N63" si="23">+J55-F55</f>
        <v>-4</v>
      </c>
      <c r="O55" s="93">
        <f t="shared" ref="O55:O63" si="24">+(J55-F55)/F55</f>
        <v>-4.5977011494252873E-2</v>
      </c>
      <c r="P55" s="212">
        <f t="shared" ref="P55:P64" si="25">+L55-H55</f>
        <v>-36645.060000000056</v>
      </c>
      <c r="Q55" s="137">
        <f t="shared" ref="Q55:Q64" si="26">+(L55-H55)/H55</f>
        <v>-2.7546442703917748E-2</v>
      </c>
      <c r="R55" s="153"/>
      <c r="S55" s="153"/>
      <c r="T55" s="153"/>
      <c r="U55" s="153"/>
      <c r="V55" s="153"/>
      <c r="W55" s="153"/>
    </row>
    <row r="56" spans="1:23" x14ac:dyDescent="0.25">
      <c r="A56" s="119" t="s">
        <v>112</v>
      </c>
      <c r="B56" s="200">
        <v>589</v>
      </c>
      <c r="C56" s="91">
        <f t="shared" si="17"/>
        <v>5.1167114053147777E-3</v>
      </c>
      <c r="D56" s="211">
        <v>7897693.6000000006</v>
      </c>
      <c r="E56" s="136">
        <f>D56/D64</f>
        <v>5.2075281527682584E-3</v>
      </c>
      <c r="F56" s="207">
        <v>605</v>
      </c>
      <c r="G56" s="91">
        <f t="shared" si="18"/>
        <v>5.2557052635236684E-3</v>
      </c>
      <c r="H56" s="207">
        <v>8305485.0300000003</v>
      </c>
      <c r="I56" s="121">
        <f>H56/H64</f>
        <v>5.4250082178120993E-3</v>
      </c>
      <c r="J56" s="207">
        <v>618</v>
      </c>
      <c r="K56" s="140">
        <f t="shared" si="21"/>
        <v>5.3095976562164389E-3</v>
      </c>
      <c r="L56" s="208">
        <v>8508631.1899999995</v>
      </c>
      <c r="M56" s="140">
        <f t="shared" si="22"/>
        <v>5.2264865295542015E-3</v>
      </c>
      <c r="N56" s="200">
        <f t="shared" si="23"/>
        <v>13</v>
      </c>
      <c r="O56" s="93">
        <f t="shared" si="24"/>
        <v>2.1487603305785124E-2</v>
      </c>
      <c r="P56" s="212">
        <f t="shared" si="25"/>
        <v>203146.15999999922</v>
      </c>
      <c r="Q56" s="137">
        <f t="shared" si="26"/>
        <v>2.4459277124240293E-2</v>
      </c>
      <c r="R56" s="153"/>
      <c r="S56" s="153"/>
      <c r="T56" s="153"/>
      <c r="U56" s="153"/>
      <c r="V56" s="153"/>
      <c r="W56" s="153"/>
    </row>
    <row r="57" spans="1:23" x14ac:dyDescent="0.25">
      <c r="A57" s="119" t="s">
        <v>113</v>
      </c>
      <c r="B57" s="200">
        <v>3077</v>
      </c>
      <c r="C57" s="91">
        <f t="shared" si="17"/>
        <v>2.6730256356797235E-2</v>
      </c>
      <c r="D57" s="211">
        <v>48706254.039999999</v>
      </c>
      <c r="E57" s="136">
        <f>D57/D64</f>
        <v>3.2115602601901737E-2</v>
      </c>
      <c r="F57" s="207">
        <v>3130</v>
      </c>
      <c r="G57" s="91">
        <f t="shared" si="18"/>
        <v>2.7190673512114183E-2</v>
      </c>
      <c r="H57" s="207">
        <v>49669578.490000002</v>
      </c>
      <c r="I57" s="121">
        <f>H57/H64</f>
        <v>3.2443363694018131E-2</v>
      </c>
      <c r="J57" s="207">
        <v>3164</v>
      </c>
      <c r="K57" s="140">
        <f t="shared" si="21"/>
        <v>2.7183765346713289E-2</v>
      </c>
      <c r="L57" s="208">
        <v>51120935.230000004</v>
      </c>
      <c r="M57" s="140">
        <f t="shared" si="22"/>
        <v>3.1401393877762827E-2</v>
      </c>
      <c r="N57" s="200">
        <f t="shared" si="23"/>
        <v>34</v>
      </c>
      <c r="O57" s="93">
        <f t="shared" si="24"/>
        <v>1.0862619808306708E-2</v>
      </c>
      <c r="P57" s="212">
        <f t="shared" si="25"/>
        <v>1451356.7400000021</v>
      </c>
      <c r="Q57" s="137">
        <f>+(L57-H57)/H57</f>
        <v>2.9220234681319159E-2</v>
      </c>
      <c r="R57" s="153"/>
      <c r="S57" s="153"/>
      <c r="T57" s="153"/>
      <c r="U57" s="153"/>
      <c r="V57" s="153"/>
      <c r="W57" s="153"/>
    </row>
    <row r="58" spans="1:23" x14ac:dyDescent="0.25">
      <c r="A58" s="119" t="s">
        <v>114</v>
      </c>
      <c r="B58" s="200">
        <v>34793</v>
      </c>
      <c r="C58" s="91">
        <f t="shared" si="17"/>
        <v>0.30225083179137024</v>
      </c>
      <c r="D58" s="211">
        <v>480986552.06</v>
      </c>
      <c r="E58" s="136">
        <f>D58/D64</f>
        <v>0.31714968164318064</v>
      </c>
      <c r="F58" s="207">
        <v>36116</v>
      </c>
      <c r="G58" s="91">
        <f t="shared" si="18"/>
        <v>0.31374388644201784</v>
      </c>
      <c r="H58" s="207">
        <v>500030857.19999999</v>
      </c>
      <c r="I58" s="121">
        <f>H58/H64</f>
        <v>0.32661205211631428</v>
      </c>
      <c r="J58" s="207">
        <v>37779</v>
      </c>
      <c r="K58" s="140">
        <f t="shared" si="21"/>
        <v>0.3245813751686098</v>
      </c>
      <c r="L58" s="208">
        <v>587334141.74000001</v>
      </c>
      <c r="M58" s="140">
        <f>L58/$L$64</f>
        <v>0.3607741258969045</v>
      </c>
      <c r="N58" s="200">
        <f t="shared" si="23"/>
        <v>1663</v>
      </c>
      <c r="O58" s="93">
        <f t="shared" si="24"/>
        <v>4.6046073762321407E-2</v>
      </c>
      <c r="P58" s="212">
        <f t="shared" si="25"/>
        <v>87303284.540000021</v>
      </c>
      <c r="Q58" s="137">
        <f t="shared" si="26"/>
        <v>0.17459579400533048</v>
      </c>
      <c r="R58" s="153"/>
      <c r="S58" s="153"/>
      <c r="T58" s="153"/>
      <c r="U58" s="153"/>
      <c r="V58" s="153"/>
      <c r="W58" s="153"/>
    </row>
    <row r="59" spans="1:23" x14ac:dyDescent="0.25">
      <c r="A59" s="119" t="s">
        <v>115</v>
      </c>
      <c r="B59" s="200">
        <v>46288</v>
      </c>
      <c r="C59" s="91">
        <f t="shared" si="17"/>
        <v>0.40210923179831992</v>
      </c>
      <c r="D59" s="211">
        <v>627894030.26999998</v>
      </c>
      <c r="E59" s="136">
        <f>D59/D64</f>
        <v>0.41401654776606545</v>
      </c>
      <c r="F59" s="207">
        <v>46247</v>
      </c>
      <c r="G59" s="91">
        <f t="shared" si="18"/>
        <v>0.40175306003665961</v>
      </c>
      <c r="H59" s="207">
        <v>630197395.36000001</v>
      </c>
      <c r="I59" s="121">
        <f>H59/H64</f>
        <v>0.41163472528368161</v>
      </c>
      <c r="J59" s="207">
        <v>46369</v>
      </c>
      <c r="K59" s="140">
        <f t="shared" si="21"/>
        <v>0.39838306427362469</v>
      </c>
      <c r="L59" s="208">
        <v>642661399.31000006</v>
      </c>
      <c r="M59" s="140">
        <f t="shared" si="22"/>
        <v>0.39475928284513756</v>
      </c>
      <c r="N59" s="200">
        <f t="shared" si="23"/>
        <v>122</v>
      </c>
      <c r="O59" s="93">
        <f t="shared" si="24"/>
        <v>2.638008951932017E-3</v>
      </c>
      <c r="P59" s="212">
        <f t="shared" si="25"/>
        <v>12464003.950000048</v>
      </c>
      <c r="Q59" s="137">
        <f t="shared" si="26"/>
        <v>1.9777936312923017E-2</v>
      </c>
      <c r="R59" s="153"/>
      <c r="S59" s="153"/>
      <c r="T59" s="153"/>
      <c r="U59" s="153"/>
      <c r="V59" s="153"/>
      <c r="W59" s="153"/>
    </row>
    <row r="60" spans="1:23" x14ac:dyDescent="0.25">
      <c r="A60" s="119" t="s">
        <v>116</v>
      </c>
      <c r="B60" s="200">
        <v>23828</v>
      </c>
      <c r="C60" s="91">
        <f t="shared" si="17"/>
        <v>0.20699660333759001</v>
      </c>
      <c r="D60" s="211">
        <v>283756170.79000002</v>
      </c>
      <c r="E60" s="136">
        <f>D60/D64</f>
        <v>0.18710123774751694</v>
      </c>
      <c r="F60" s="207">
        <v>23342</v>
      </c>
      <c r="G60" s="91">
        <f t="shared" si="18"/>
        <v>0.20277466489449497</v>
      </c>
      <c r="H60" s="207">
        <v>279039811.43000001</v>
      </c>
      <c r="I60" s="121">
        <f>H60/H64</f>
        <v>0.18226428253576521</v>
      </c>
      <c r="J60" s="207">
        <v>23085</v>
      </c>
      <c r="K60" s="140">
        <f t="shared" si="21"/>
        <v>0.19833666973099756</v>
      </c>
      <c r="L60" s="208">
        <v>277804258.51999998</v>
      </c>
      <c r="M60" s="140">
        <f t="shared" si="22"/>
        <v>0.17064321893679035</v>
      </c>
      <c r="N60" s="200">
        <f t="shared" si="23"/>
        <v>-257</v>
      </c>
      <c r="O60" s="93">
        <f t="shared" si="24"/>
        <v>-1.1010196212835232E-2</v>
      </c>
      <c r="P60" s="212">
        <f t="shared" si="25"/>
        <v>-1235552.9100000262</v>
      </c>
      <c r="Q60" s="137">
        <f t="shared" si="26"/>
        <v>-4.427873225932054E-3</v>
      </c>
      <c r="R60" s="153"/>
      <c r="S60" s="153"/>
      <c r="T60" s="153"/>
      <c r="U60" s="153"/>
      <c r="V60" s="153"/>
      <c r="W60" s="153"/>
    </row>
    <row r="61" spans="1:23" x14ac:dyDescent="0.25">
      <c r="A61" s="119" t="s">
        <v>117</v>
      </c>
      <c r="B61" s="200">
        <v>5471</v>
      </c>
      <c r="C61" s="91">
        <f t="shared" si="17"/>
        <v>4.7527212391302462E-2</v>
      </c>
      <c r="D61" s="211">
        <v>61447621.310000002</v>
      </c>
      <c r="E61" s="136">
        <f>D61/D64</f>
        <v>4.0516919761545034E-2</v>
      </c>
      <c r="F61" s="207">
        <v>5205</v>
      </c>
      <c r="G61" s="91">
        <f t="shared" si="18"/>
        <v>4.5216439498579654E-2</v>
      </c>
      <c r="H61" s="207">
        <v>58604594.230000004</v>
      </c>
      <c r="I61" s="121">
        <f>H61/H64</f>
        <v>3.8279571169041474E-2</v>
      </c>
      <c r="J61" s="207">
        <v>4959</v>
      </c>
      <c r="K61" s="140">
        <f t="shared" si="21"/>
        <v>4.2605654979251333E-2</v>
      </c>
      <c r="L61" s="208">
        <v>55859549.109999999</v>
      </c>
      <c r="M61" s="140">
        <f t="shared" si="22"/>
        <v>3.4312120769026587E-2</v>
      </c>
      <c r="N61" s="200">
        <f t="shared" si="23"/>
        <v>-246</v>
      </c>
      <c r="O61" s="93">
        <f t="shared" si="24"/>
        <v>-4.7262247838616718E-2</v>
      </c>
      <c r="P61" s="212">
        <f t="shared" si="25"/>
        <v>-2745045.1200000048</v>
      </c>
      <c r="Q61" s="137">
        <f t="shared" si="26"/>
        <v>-4.6840101122904827E-2</v>
      </c>
      <c r="R61" s="153"/>
      <c r="S61" s="153"/>
      <c r="T61" s="153"/>
      <c r="U61" s="153"/>
      <c r="V61" s="153"/>
      <c r="W61" s="153"/>
    </row>
    <row r="62" spans="1:23" x14ac:dyDescent="0.25">
      <c r="A62" s="126">
        <v>100</v>
      </c>
      <c r="B62" s="200">
        <v>331</v>
      </c>
      <c r="C62" s="91">
        <f t="shared" si="17"/>
        <v>2.8754354416964199E-3</v>
      </c>
      <c r="D62" s="211">
        <v>3305330.89</v>
      </c>
      <c r="E62" s="136">
        <f>D62/D64</f>
        <v>2.1794468785025492E-3</v>
      </c>
      <c r="F62" s="207">
        <v>311</v>
      </c>
      <c r="G62" s="91">
        <f t="shared" si="18"/>
        <v>2.7016931189353072E-3</v>
      </c>
      <c r="H62" s="207">
        <v>3124466.42</v>
      </c>
      <c r="I62" s="121">
        <f>H62/H64</f>
        <v>2.0408508285250557E-3</v>
      </c>
      <c r="J62" s="207">
        <v>286</v>
      </c>
      <c r="K62" s="140">
        <f t="shared" si="21"/>
        <v>2.4571924428445011E-3</v>
      </c>
      <c r="L62" s="208">
        <v>2919115.91</v>
      </c>
      <c r="M62" s="140">
        <f t="shared" si="22"/>
        <v>1.7930874709616315E-3</v>
      </c>
      <c r="N62" s="200">
        <f t="shared" si="23"/>
        <v>-25</v>
      </c>
      <c r="O62" s="93">
        <f t="shared" si="24"/>
        <v>-8.0385852090032156E-2</v>
      </c>
      <c r="P62" s="212">
        <f t="shared" si="25"/>
        <v>-205350.50999999978</v>
      </c>
      <c r="Q62" s="137">
        <f t="shared" si="26"/>
        <v>-6.5723385178836316E-2</v>
      </c>
      <c r="R62" s="153"/>
      <c r="S62" s="153"/>
      <c r="T62" s="153"/>
      <c r="U62" s="153"/>
      <c r="V62" s="153"/>
      <c r="W62" s="153"/>
    </row>
    <row r="63" spans="1:23" x14ac:dyDescent="0.25">
      <c r="A63" s="126" t="s">
        <v>180</v>
      </c>
      <c r="B63" s="200">
        <v>141</v>
      </c>
      <c r="C63" s="91">
        <f t="shared" si="17"/>
        <v>1.2248833754658465E-3</v>
      </c>
      <c r="D63" s="211">
        <v>1154866.8799999999</v>
      </c>
      <c r="E63" s="136">
        <f>D63/D64</f>
        <v>7.6148836545135662E-4</v>
      </c>
      <c r="F63" s="207">
        <v>60</v>
      </c>
      <c r="G63" s="91">
        <f t="shared" si="18"/>
        <v>5.2122696828333899E-4</v>
      </c>
      <c r="H63" s="207">
        <v>506866.88</v>
      </c>
      <c r="I63" s="121">
        <f>H63/H64</f>
        <v>3.3107723142049647E-4</v>
      </c>
      <c r="J63" s="207">
        <v>40</v>
      </c>
      <c r="K63" s="140">
        <f t="shared" si="21"/>
        <v>3.436632787195106E-4</v>
      </c>
      <c r="L63" s="208">
        <v>328000</v>
      </c>
      <c r="M63" s="140">
        <f t="shared" si="22"/>
        <v>2.0147630604891434E-4</v>
      </c>
      <c r="N63" s="200">
        <f t="shared" si="23"/>
        <v>-20</v>
      </c>
      <c r="O63" s="93">
        <f t="shared" si="24"/>
        <v>-0.33333333333333331</v>
      </c>
      <c r="P63" s="212">
        <f t="shared" si="25"/>
        <v>-178866.88</v>
      </c>
      <c r="Q63" s="137">
        <f t="shared" si="26"/>
        <v>-0.3528872906432553</v>
      </c>
      <c r="R63" s="153"/>
      <c r="S63" s="153"/>
      <c r="T63" s="153"/>
      <c r="U63" s="153"/>
      <c r="V63" s="153"/>
      <c r="W63" s="153"/>
    </row>
    <row r="64" spans="1:23" ht="15.75" thickBot="1" x14ac:dyDescent="0.3">
      <c r="A64" s="114" t="s">
        <v>48</v>
      </c>
      <c r="B64" s="108">
        <f t="shared" ref="B64:I64" si="27">SUM(B53:B63)</f>
        <v>114612</v>
      </c>
      <c r="C64" s="109">
        <f t="shared" si="27"/>
        <v>0.99564775481483425</v>
      </c>
      <c r="D64" s="110">
        <f t="shared" si="27"/>
        <v>1516591628.1800001</v>
      </c>
      <c r="E64" s="111">
        <f t="shared" si="27"/>
        <v>1</v>
      </c>
      <c r="F64" s="110">
        <f t="shared" si="27"/>
        <v>115113</v>
      </c>
      <c r="G64" s="109">
        <f t="shared" si="27"/>
        <v>1</v>
      </c>
      <c r="H64" s="110">
        <f t="shared" si="27"/>
        <v>1530962663.3800004</v>
      </c>
      <c r="I64" s="111">
        <f t="shared" si="27"/>
        <v>0.99999999999999967</v>
      </c>
      <c r="J64" s="149">
        <f>SUM(J54:J63)</f>
        <v>116393</v>
      </c>
      <c r="K64" s="109">
        <f>SUM(K54:K63)</f>
        <v>1</v>
      </c>
      <c r="L64" s="149">
        <f>SUM(L54:L63)</f>
        <v>1627982994.29</v>
      </c>
      <c r="M64" s="109">
        <f>SUM(M54:M63)</f>
        <v>1</v>
      </c>
      <c r="N64" s="108">
        <f t="shared" ref="N64" si="28">SUM(N53:N63)</f>
        <v>1280</v>
      </c>
      <c r="O64" s="134">
        <f>+(J64-F64)/F64</f>
        <v>1.1119508656711232E-2</v>
      </c>
      <c r="P64" s="213">
        <f t="shared" si="25"/>
        <v>97020330.909999609</v>
      </c>
      <c r="Q64" s="142">
        <f t="shared" si="26"/>
        <v>6.3372107779429351E-2</v>
      </c>
      <c r="R64" s="153"/>
      <c r="S64" s="153"/>
      <c r="T64" s="153"/>
      <c r="U64" s="153"/>
      <c r="V64" s="153"/>
      <c r="W64" s="153"/>
    </row>
    <row r="65" spans="1:23" x14ac:dyDescent="0.25">
      <c r="A65" s="214" t="s">
        <v>159</v>
      </c>
      <c r="B65" s="158"/>
      <c r="C65" s="158"/>
      <c r="D65" s="158"/>
      <c r="E65" s="153"/>
      <c r="F65" s="158"/>
      <c r="G65" s="158"/>
      <c r="H65" s="158"/>
      <c r="I65" s="153"/>
      <c r="J65" s="153"/>
      <c r="K65" s="153"/>
      <c r="L65" s="153"/>
      <c r="M65" s="153"/>
      <c r="N65" s="158"/>
      <c r="O65" s="158"/>
      <c r="P65" s="158"/>
      <c r="Q65" s="153"/>
      <c r="R65" s="153"/>
      <c r="S65" s="153"/>
      <c r="T65" s="153"/>
      <c r="U65" s="153"/>
      <c r="V65" s="153"/>
      <c r="W65" s="153"/>
    </row>
    <row r="66" spans="1:23" x14ac:dyDescent="0.25">
      <c r="A66" s="162" t="s">
        <v>155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</row>
    <row r="67" spans="1:23" x14ac:dyDescent="0.25">
      <c r="A67" s="153"/>
      <c r="B67" s="163"/>
      <c r="C67" s="153"/>
      <c r="D67" s="215"/>
      <c r="E67" s="153"/>
      <c r="F67" s="163"/>
      <c r="G67" s="153"/>
      <c r="H67" s="215"/>
      <c r="I67" s="153"/>
      <c r="J67" s="153"/>
      <c r="K67" s="153"/>
      <c r="L67" s="153"/>
      <c r="M67" s="153"/>
      <c r="N67" s="163"/>
      <c r="O67" s="153"/>
      <c r="P67" s="215"/>
      <c r="Q67" s="153"/>
      <c r="R67" s="153"/>
      <c r="S67" s="153"/>
      <c r="T67" s="153"/>
      <c r="U67" s="153"/>
      <c r="V67" s="153"/>
      <c r="W67" s="153"/>
    </row>
  </sheetData>
  <mergeCells count="21">
    <mergeCell ref="N30:Q30"/>
    <mergeCell ref="N51:Q51"/>
    <mergeCell ref="A29:Q29"/>
    <mergeCell ref="A50:Q50"/>
    <mergeCell ref="B51:E51"/>
    <mergeCell ref="F51:I51"/>
    <mergeCell ref="B30:E30"/>
    <mergeCell ref="F30:I30"/>
    <mergeCell ref="J30:M30"/>
    <mergeCell ref="J51:M51"/>
    <mergeCell ref="A1:W1"/>
    <mergeCell ref="A2:W2"/>
    <mergeCell ref="A4:W4"/>
    <mergeCell ref="A3:W3"/>
    <mergeCell ref="A19:I19"/>
    <mergeCell ref="A5:W5"/>
    <mergeCell ref="B7:E7"/>
    <mergeCell ref="F7:I7"/>
    <mergeCell ref="N7:Q7"/>
    <mergeCell ref="A6:Q6"/>
    <mergeCell ref="J7:M7"/>
  </mergeCells>
  <pageMargins left="0.7" right="0.7" top="0.75" bottom="0.75" header="0.3" footer="0.3"/>
  <pageSetup paperSize="9" scale="20" orientation="portrait" r:id="rId1"/>
  <rowBreaks count="1" manualBreakCount="1">
    <brk id="46" max="17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5:H72"/>
  <sheetViews>
    <sheetView topLeftCell="A10" workbookViewId="0">
      <selection activeCell="H23" sqref="H23"/>
    </sheetView>
  </sheetViews>
  <sheetFormatPr baseColWidth="10" defaultColWidth="11.42578125" defaultRowHeight="15" x14ac:dyDescent="0.25"/>
  <cols>
    <col min="1" max="1" width="18.5703125" customWidth="1"/>
    <col min="3" max="3" width="18.140625" customWidth="1"/>
    <col min="6" max="6" width="13.7109375" bestFit="1" customWidth="1"/>
  </cols>
  <sheetData>
    <row r="5" spans="1:8" x14ac:dyDescent="0.25">
      <c r="A5" t="s">
        <v>187</v>
      </c>
    </row>
    <row r="6" spans="1:8" x14ac:dyDescent="0.25">
      <c r="A6" t="s">
        <v>188</v>
      </c>
      <c r="B6" t="s">
        <v>189</v>
      </c>
      <c r="C6" s="79">
        <v>31310</v>
      </c>
      <c r="D6" s="115">
        <v>0.2</v>
      </c>
      <c r="E6" s="79">
        <v>391848281</v>
      </c>
      <c r="F6" s="115">
        <v>0.19</v>
      </c>
    </row>
    <row r="7" spans="1:8" x14ac:dyDescent="0.25">
      <c r="A7" t="s">
        <v>43</v>
      </c>
      <c r="B7" s="79">
        <v>58606</v>
      </c>
      <c r="C7" s="115">
        <v>0.37</v>
      </c>
      <c r="D7" s="79">
        <v>502596251</v>
      </c>
      <c r="E7" s="115">
        <v>0.25</v>
      </c>
    </row>
    <row r="8" spans="1:8" x14ac:dyDescent="0.25">
      <c r="A8" t="s">
        <v>190</v>
      </c>
      <c r="B8" t="s">
        <v>191</v>
      </c>
      <c r="C8" t="s">
        <v>192</v>
      </c>
      <c r="D8">
        <v>280</v>
      </c>
      <c r="E8" s="116">
        <v>2E-3</v>
      </c>
      <c r="F8" s="79">
        <v>4723136</v>
      </c>
      <c r="G8" s="116">
        <v>2E-3</v>
      </c>
    </row>
    <row r="9" spans="1:8" x14ac:dyDescent="0.25">
      <c r="A9" t="s">
        <v>193</v>
      </c>
      <c r="B9" t="s">
        <v>194</v>
      </c>
      <c r="C9" t="s">
        <v>195</v>
      </c>
      <c r="D9" t="s">
        <v>196</v>
      </c>
      <c r="E9">
        <v>164</v>
      </c>
      <c r="F9" s="116">
        <v>1E-3</v>
      </c>
      <c r="G9" s="79">
        <v>4627394</v>
      </c>
      <c r="H9" s="116">
        <v>2E-3</v>
      </c>
    </row>
    <row r="10" spans="1:8" x14ac:dyDescent="0.25">
      <c r="A10" t="s">
        <v>197</v>
      </c>
      <c r="B10" t="s">
        <v>198</v>
      </c>
      <c r="C10">
        <v>311</v>
      </c>
      <c r="D10" s="116">
        <v>2E-3</v>
      </c>
      <c r="E10" s="79">
        <v>8307901</v>
      </c>
      <c r="F10" s="116">
        <v>4.0000000000000001E-3</v>
      </c>
    </row>
    <row r="11" spans="1:8" x14ac:dyDescent="0.25">
      <c r="A11" t="s">
        <v>197</v>
      </c>
      <c r="B11" t="s">
        <v>199</v>
      </c>
      <c r="C11" s="79">
        <v>19019</v>
      </c>
      <c r="D11" s="115">
        <v>0.12</v>
      </c>
      <c r="E11" s="79">
        <v>425653300</v>
      </c>
      <c r="F11" s="115">
        <v>0.21</v>
      </c>
    </row>
    <row r="12" spans="1:8" x14ac:dyDescent="0.25">
      <c r="A12" t="s">
        <v>200</v>
      </c>
      <c r="B12" t="s">
        <v>201</v>
      </c>
      <c r="C12" s="79">
        <v>21131</v>
      </c>
      <c r="D12" s="115">
        <v>0.13</v>
      </c>
      <c r="E12" s="79">
        <v>448771667</v>
      </c>
      <c r="F12" s="115">
        <v>0.22</v>
      </c>
    </row>
    <row r="13" spans="1:8" x14ac:dyDescent="0.25">
      <c r="A13" t="s">
        <v>188</v>
      </c>
      <c r="B13" t="s">
        <v>202</v>
      </c>
      <c r="C13" s="79">
        <v>10163</v>
      </c>
      <c r="D13" s="115">
        <v>0.06</v>
      </c>
      <c r="E13" s="79">
        <v>60978000</v>
      </c>
      <c r="F13" s="115">
        <v>0.03</v>
      </c>
    </row>
    <row r="14" spans="1:8" x14ac:dyDescent="0.25">
      <c r="A14" t="s">
        <v>203</v>
      </c>
      <c r="B14" t="s">
        <v>204</v>
      </c>
      <c r="C14" t="s">
        <v>205</v>
      </c>
      <c r="D14" s="79">
        <v>16719</v>
      </c>
      <c r="E14" s="115">
        <v>0.11</v>
      </c>
      <c r="F14" s="79">
        <v>171659274</v>
      </c>
      <c r="G14" s="115">
        <v>0.09</v>
      </c>
    </row>
    <row r="17" spans="1:7" x14ac:dyDescent="0.25">
      <c r="A17" t="s">
        <v>58</v>
      </c>
      <c r="B17" t="s">
        <v>206</v>
      </c>
      <c r="C17" t="s">
        <v>41</v>
      </c>
      <c r="D17" t="s">
        <v>149</v>
      </c>
      <c r="E17" t="s">
        <v>41</v>
      </c>
    </row>
    <row r="18" spans="1:7" x14ac:dyDescent="0.25">
      <c r="A18" t="s">
        <v>207</v>
      </c>
      <c r="B18" t="s">
        <v>208</v>
      </c>
      <c r="C18" t="s">
        <v>209</v>
      </c>
      <c r="D18">
        <v>42</v>
      </c>
      <c r="E18" s="116">
        <v>2.9999999999999997E-4</v>
      </c>
      <c r="F18" s="117">
        <v>167356.85</v>
      </c>
      <c r="G18" s="115">
        <v>0</v>
      </c>
    </row>
    <row r="19" spans="1:7" x14ac:dyDescent="0.25">
      <c r="A19" t="s">
        <v>210</v>
      </c>
      <c r="B19" t="s">
        <v>211</v>
      </c>
      <c r="C19" t="s">
        <v>212</v>
      </c>
      <c r="D19">
        <v>1</v>
      </c>
      <c r="E19" s="116">
        <v>0</v>
      </c>
      <c r="F19" s="117">
        <v>5117.5</v>
      </c>
      <c r="G19" s="115">
        <v>0</v>
      </c>
    </row>
    <row r="20" spans="1:7" x14ac:dyDescent="0.25">
      <c r="A20" s="117">
        <v>5117.5</v>
      </c>
      <c r="B20" t="s">
        <v>213</v>
      </c>
      <c r="C20" s="117">
        <v>10000</v>
      </c>
      <c r="D20" s="79">
        <v>93522</v>
      </c>
      <c r="E20" s="116">
        <v>0.73980000000000001</v>
      </c>
      <c r="F20" s="117">
        <v>750253033.45000005</v>
      </c>
      <c r="G20" s="115">
        <v>0.5</v>
      </c>
    </row>
    <row r="21" spans="1:7" x14ac:dyDescent="0.25">
      <c r="A21" s="117">
        <v>10000</v>
      </c>
      <c r="B21" t="s">
        <v>213</v>
      </c>
      <c r="C21" s="117">
        <v>20000</v>
      </c>
      <c r="D21" s="79">
        <v>18138</v>
      </c>
      <c r="E21" s="116">
        <v>0.14349999999999999</v>
      </c>
      <c r="F21" s="117">
        <v>227429836.90000001</v>
      </c>
      <c r="G21" s="115">
        <v>0.15</v>
      </c>
    </row>
    <row r="22" spans="1:7" x14ac:dyDescent="0.25">
      <c r="A22" s="117">
        <v>20000</v>
      </c>
      <c r="B22" t="s">
        <v>213</v>
      </c>
      <c r="C22" s="117">
        <v>30000</v>
      </c>
      <c r="D22" s="79">
        <v>6578</v>
      </c>
      <c r="E22" s="116">
        <v>5.1999999999999998E-2</v>
      </c>
      <c r="F22" s="117">
        <v>161421192.27000001</v>
      </c>
      <c r="G22" s="115">
        <v>0.11</v>
      </c>
    </row>
    <row r="23" spans="1:7" x14ac:dyDescent="0.25">
      <c r="A23" s="117">
        <v>30000</v>
      </c>
      <c r="B23" t="s">
        <v>213</v>
      </c>
      <c r="C23" s="117">
        <v>40000</v>
      </c>
      <c r="D23" s="79">
        <v>3651</v>
      </c>
      <c r="E23" s="116">
        <v>2.8899999999999999E-2</v>
      </c>
      <c r="F23" s="117">
        <v>122505219.92</v>
      </c>
      <c r="G23" s="115">
        <v>0.08</v>
      </c>
    </row>
    <row r="24" spans="1:7" x14ac:dyDescent="0.25">
      <c r="A24" s="117">
        <v>40000</v>
      </c>
      <c r="B24" t="s">
        <v>213</v>
      </c>
      <c r="C24" s="117">
        <v>50000</v>
      </c>
      <c r="D24" s="79">
        <v>2228</v>
      </c>
      <c r="E24" s="116">
        <v>1.7600000000000001E-2</v>
      </c>
      <c r="F24" s="117">
        <v>96897867.079999998</v>
      </c>
      <c r="G24" s="115">
        <v>0.06</v>
      </c>
    </row>
    <row r="25" spans="1:7" x14ac:dyDescent="0.25">
      <c r="A25" s="117">
        <v>50000</v>
      </c>
      <c r="B25" t="s">
        <v>213</v>
      </c>
      <c r="C25" s="117">
        <v>60000</v>
      </c>
      <c r="D25" s="79">
        <v>1212</v>
      </c>
      <c r="E25" s="116">
        <v>9.5999999999999992E-3</v>
      </c>
      <c r="F25" s="117">
        <v>63870772.049999997</v>
      </c>
      <c r="G25" s="115">
        <v>0.04</v>
      </c>
    </row>
    <row r="26" spans="1:7" x14ac:dyDescent="0.25">
      <c r="A26" s="117">
        <v>60000</v>
      </c>
      <c r="B26" t="s">
        <v>213</v>
      </c>
      <c r="C26" s="117">
        <v>70000</v>
      </c>
      <c r="D26">
        <v>256</v>
      </c>
      <c r="E26" s="116">
        <v>2E-3</v>
      </c>
      <c r="F26" s="117">
        <v>15987935.460000001</v>
      </c>
      <c r="G26" s="115">
        <v>0.01</v>
      </c>
    </row>
    <row r="27" spans="1:7" x14ac:dyDescent="0.25">
      <c r="A27" s="117">
        <v>70000</v>
      </c>
      <c r="B27" t="s">
        <v>213</v>
      </c>
      <c r="C27" s="117">
        <v>80000</v>
      </c>
      <c r="D27">
        <v>185</v>
      </c>
      <c r="E27" s="116">
        <v>1.5E-3</v>
      </c>
      <c r="F27" s="117">
        <v>13603340.310000001</v>
      </c>
      <c r="G27" s="115">
        <v>0.01</v>
      </c>
    </row>
    <row r="28" spans="1:7" x14ac:dyDescent="0.25">
      <c r="A28" s="117">
        <v>80000</v>
      </c>
      <c r="B28" t="s">
        <v>213</v>
      </c>
      <c r="C28" s="117">
        <v>90000</v>
      </c>
      <c r="D28">
        <v>246</v>
      </c>
      <c r="E28" s="116">
        <v>1.9E-3</v>
      </c>
      <c r="F28" s="117">
        <v>20637258.829999998</v>
      </c>
      <c r="G28" s="115">
        <v>0.01</v>
      </c>
    </row>
    <row r="29" spans="1:7" x14ac:dyDescent="0.25">
      <c r="A29" s="117">
        <v>90000</v>
      </c>
      <c r="B29" t="s">
        <v>213</v>
      </c>
      <c r="C29" s="117">
        <v>100000</v>
      </c>
      <c r="D29">
        <v>300</v>
      </c>
      <c r="E29" s="116">
        <v>2.3999999999999998E-3</v>
      </c>
      <c r="F29" s="117">
        <v>28790914.350000001</v>
      </c>
      <c r="G29" s="115">
        <v>0.02</v>
      </c>
    </row>
    <row r="30" spans="1:7" x14ac:dyDescent="0.25">
      <c r="A30" t="s">
        <v>62</v>
      </c>
      <c r="B30">
        <v>50</v>
      </c>
      <c r="C30" s="116">
        <v>4.0000000000000002E-4</v>
      </c>
      <c r="D30" s="117">
        <v>7845693.5999999996</v>
      </c>
      <c r="E30" s="115">
        <v>0.01</v>
      </c>
    </row>
    <row r="32" spans="1:7" x14ac:dyDescent="0.25">
      <c r="A32" t="s">
        <v>58</v>
      </c>
      <c r="B32" t="s">
        <v>206</v>
      </c>
      <c r="C32" t="s">
        <v>41</v>
      </c>
      <c r="D32" t="s">
        <v>149</v>
      </c>
      <c r="E32" t="s">
        <v>41</v>
      </c>
    </row>
    <row r="33" spans="1:7" x14ac:dyDescent="0.25">
      <c r="A33" t="s">
        <v>110</v>
      </c>
      <c r="B33">
        <v>8</v>
      </c>
      <c r="C33" s="116">
        <v>1E-4</v>
      </c>
      <c r="D33" s="79">
        <v>120807</v>
      </c>
      <c r="E33" s="116">
        <v>1E-4</v>
      </c>
    </row>
    <row r="34" spans="1:7" x14ac:dyDescent="0.25">
      <c r="A34" t="s">
        <v>111</v>
      </c>
      <c r="B34">
        <v>105</v>
      </c>
      <c r="C34" s="116">
        <v>8.9999999999999998E-4</v>
      </c>
      <c r="D34" s="79">
        <v>1623898</v>
      </c>
      <c r="E34" s="116">
        <v>1.1000000000000001E-3</v>
      </c>
    </row>
    <row r="35" spans="1:7" x14ac:dyDescent="0.25">
      <c r="A35" t="s">
        <v>112</v>
      </c>
      <c r="B35">
        <v>662</v>
      </c>
      <c r="C35" s="116">
        <v>5.7999999999999996E-3</v>
      </c>
      <c r="D35" s="79">
        <v>8844351</v>
      </c>
      <c r="E35" s="116">
        <v>5.8999999999999999E-3</v>
      </c>
    </row>
    <row r="36" spans="1:7" x14ac:dyDescent="0.25">
      <c r="A36" t="s">
        <v>113</v>
      </c>
      <c r="B36" s="79">
        <v>3613</v>
      </c>
      <c r="C36" s="116">
        <v>3.1699999999999999E-2</v>
      </c>
      <c r="D36" s="79">
        <v>58835635</v>
      </c>
      <c r="E36" s="116">
        <v>3.9E-2</v>
      </c>
    </row>
    <row r="37" spans="1:7" x14ac:dyDescent="0.25">
      <c r="A37" t="s">
        <v>114</v>
      </c>
      <c r="B37" s="79">
        <v>37680</v>
      </c>
      <c r="C37" s="116">
        <v>0.3306</v>
      </c>
      <c r="D37" s="79">
        <v>525796423</v>
      </c>
      <c r="E37" s="116">
        <v>0.3483</v>
      </c>
    </row>
    <row r="38" spans="1:7" x14ac:dyDescent="0.25">
      <c r="A38" t="s">
        <v>115</v>
      </c>
      <c r="B38" s="79">
        <v>44491</v>
      </c>
      <c r="C38" s="116">
        <v>0.39040000000000002</v>
      </c>
      <c r="D38" s="79">
        <v>593494378</v>
      </c>
      <c r="E38" s="116">
        <v>0.39319999999999999</v>
      </c>
    </row>
    <row r="39" spans="1:7" x14ac:dyDescent="0.25">
      <c r="A39" t="s">
        <v>116</v>
      </c>
      <c r="B39" s="79">
        <v>22199</v>
      </c>
      <c r="C39" s="116">
        <v>0.1948</v>
      </c>
      <c r="D39" s="79">
        <v>263071212</v>
      </c>
      <c r="E39" s="116">
        <v>0.17430000000000001</v>
      </c>
    </row>
    <row r="40" spans="1:7" x14ac:dyDescent="0.25">
      <c r="A40" t="s">
        <v>117</v>
      </c>
      <c r="B40" s="79">
        <v>4787</v>
      </c>
      <c r="C40" s="116">
        <v>4.2000000000000003E-2</v>
      </c>
      <c r="D40" s="79">
        <v>53293459</v>
      </c>
      <c r="E40" s="116">
        <v>3.5299999999999998E-2</v>
      </c>
    </row>
    <row r="41" spans="1:7" x14ac:dyDescent="0.25">
      <c r="A41">
        <v>100</v>
      </c>
      <c r="B41">
        <v>273</v>
      </c>
      <c r="C41" s="116">
        <v>2.3999999999999998E-3</v>
      </c>
      <c r="D41" s="79">
        <v>3036509</v>
      </c>
      <c r="E41" s="116">
        <v>2E-3</v>
      </c>
    </row>
    <row r="42" spans="1:7" x14ac:dyDescent="0.25">
      <c r="A42">
        <v>0</v>
      </c>
      <c r="B42">
        <v>148</v>
      </c>
      <c r="C42" s="116">
        <v>1.2999999999999999E-3</v>
      </c>
      <c r="D42" s="79">
        <v>1202867</v>
      </c>
      <c r="E42" s="116">
        <v>8.0000000000000004E-4</v>
      </c>
    </row>
    <row r="43" spans="1:7" x14ac:dyDescent="0.25">
      <c r="A43" t="s">
        <v>214</v>
      </c>
      <c r="B43" t="s">
        <v>215</v>
      </c>
      <c r="C43" s="123">
        <v>1</v>
      </c>
      <c r="D43">
        <v>11</v>
      </c>
      <c r="E43" s="116">
        <v>1E-4</v>
      </c>
      <c r="F43" s="79">
        <v>96000</v>
      </c>
      <c r="G43" s="116">
        <v>1E-4</v>
      </c>
    </row>
    <row r="60" spans="1:4" ht="1.5" customHeight="1" thickBot="1" x14ac:dyDescent="0.3"/>
    <row r="61" spans="1:4" ht="31.5" customHeight="1" x14ac:dyDescent="0.25">
      <c r="A61" s="269" t="s">
        <v>219</v>
      </c>
      <c r="B61" s="270"/>
      <c r="C61" s="270"/>
      <c r="D61" s="271"/>
    </row>
    <row r="62" spans="1:4" x14ac:dyDescent="0.25">
      <c r="A62" s="129" t="s">
        <v>59</v>
      </c>
      <c r="B62" s="130" t="s">
        <v>41</v>
      </c>
      <c r="C62" s="131" t="s">
        <v>20</v>
      </c>
      <c r="D62" s="132" t="s">
        <v>41</v>
      </c>
    </row>
    <row r="63" spans="1:4" x14ac:dyDescent="0.25">
      <c r="A63" s="105">
        <v>31137</v>
      </c>
      <c r="B63" s="82">
        <f>A63/$F$18</f>
        <v>0.18605154195959114</v>
      </c>
      <c r="C63" s="56">
        <v>395798200.03000003</v>
      </c>
      <c r="D63" s="106">
        <f>C63/C72</f>
        <v>0.19391687100775967</v>
      </c>
    </row>
    <row r="64" spans="1:4" x14ac:dyDescent="0.25">
      <c r="A64" s="105">
        <v>59538</v>
      </c>
      <c r="B64" s="82">
        <f t="shared" ref="B64:B71" si="0">A64/$F$18</f>
        <v>0.35575478386453857</v>
      </c>
      <c r="C64" s="56">
        <v>514655292.12</v>
      </c>
      <c r="D64" s="106">
        <f>C64/C72</f>
        <v>0.25214956482351464</v>
      </c>
    </row>
    <row r="65" spans="1:4" x14ac:dyDescent="0.25">
      <c r="A65" s="105">
        <v>272</v>
      </c>
      <c r="B65" s="84">
        <f t="shared" si="0"/>
        <v>1.6252695960756909E-3</v>
      </c>
      <c r="C65" s="56">
        <v>4588034.25</v>
      </c>
      <c r="D65" s="107">
        <f>C65/C72</f>
        <v>2.2478557147783836E-3</v>
      </c>
    </row>
    <row r="66" spans="1:4" x14ac:dyDescent="0.25">
      <c r="A66" s="105">
        <v>165</v>
      </c>
      <c r="B66" s="84">
        <f t="shared" si="0"/>
        <v>9.8591721820768022E-4</v>
      </c>
      <c r="C66" s="56">
        <v>4769926.3500000006</v>
      </c>
      <c r="D66" s="107">
        <f>C66/C72</f>
        <v>2.3369717008802837E-3</v>
      </c>
    </row>
    <row r="67" spans="1:4" x14ac:dyDescent="0.25">
      <c r="A67" s="105">
        <v>291</v>
      </c>
      <c r="B67" s="84">
        <f t="shared" si="0"/>
        <v>1.7387994575662723E-3</v>
      </c>
      <c r="C67" s="56">
        <v>7859081.6799999997</v>
      </c>
      <c r="D67" s="107">
        <f>C67/C72</f>
        <v>3.8504685677309622E-3</v>
      </c>
    </row>
    <row r="68" spans="1:4" x14ac:dyDescent="0.25">
      <c r="A68" s="105">
        <v>18719</v>
      </c>
      <c r="B68" s="82">
        <f t="shared" si="0"/>
        <v>0.11185081459169433</v>
      </c>
      <c r="C68" s="56">
        <v>422264407.25999999</v>
      </c>
      <c r="D68" s="106">
        <f>C68/C72</f>
        <v>0.20688369120324193</v>
      </c>
    </row>
    <row r="69" spans="1:4" x14ac:dyDescent="0.25">
      <c r="A69" s="105">
        <v>21144</v>
      </c>
      <c r="B69" s="82">
        <f t="shared" si="0"/>
        <v>0.12634081007141326</v>
      </c>
      <c r="C69" s="56">
        <v>451598843.05000001</v>
      </c>
      <c r="D69" s="106">
        <f>C69/C72</f>
        <v>0.22125576768247726</v>
      </c>
    </row>
    <row r="70" spans="1:4" x14ac:dyDescent="0.25">
      <c r="A70" s="105">
        <v>9753</v>
      </c>
      <c r="B70" s="82">
        <f t="shared" si="0"/>
        <v>5.8276670479875788E-2</v>
      </c>
      <c r="C70" s="56">
        <v>58518000</v>
      </c>
      <c r="D70" s="106">
        <f>C70/C72</f>
        <v>2.8670235126819606E-2</v>
      </c>
    </row>
    <row r="71" spans="1:4" x14ac:dyDescent="0.25">
      <c r="A71" s="105">
        <v>17481</v>
      </c>
      <c r="B71" s="82">
        <f t="shared" si="0"/>
        <v>0.10445344782720277</v>
      </c>
      <c r="C71" s="56">
        <v>181019721.69</v>
      </c>
      <c r="D71" s="106">
        <f>C71/C72</f>
        <v>8.8688574172797213E-2</v>
      </c>
    </row>
    <row r="72" spans="1:4" ht="15.75" thickBot="1" x14ac:dyDescent="0.3">
      <c r="A72" s="108">
        <f t="shared" ref="A72:D72" si="1">SUM(A63:A71)</f>
        <v>158500</v>
      </c>
      <c r="B72" s="109">
        <f t="shared" si="1"/>
        <v>0.9470780550661656</v>
      </c>
      <c r="C72" s="110">
        <f t="shared" si="1"/>
        <v>2041071506.4300001</v>
      </c>
      <c r="D72" s="111">
        <f t="shared" si="1"/>
        <v>0.99999999999999989</v>
      </c>
    </row>
  </sheetData>
  <mergeCells count="1">
    <mergeCell ref="A61:D6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R49"/>
  <sheetViews>
    <sheetView showGridLines="0" tabSelected="1" topLeftCell="A3" zoomScale="85" zoomScaleNormal="85" workbookViewId="0">
      <selection activeCell="O11" sqref="O11"/>
    </sheetView>
  </sheetViews>
  <sheetFormatPr baseColWidth="10" defaultColWidth="11.42578125" defaultRowHeight="15" x14ac:dyDescent="0.25"/>
  <cols>
    <col min="1" max="1" width="11.42578125" style="1"/>
    <col min="2" max="2" width="10.140625" style="1" customWidth="1"/>
    <col min="3" max="3" width="16.28515625" style="1" bestFit="1" customWidth="1"/>
    <col min="4" max="4" width="8.7109375" style="1" customWidth="1"/>
    <col min="5" max="5" width="13.5703125" style="1" bestFit="1" customWidth="1"/>
    <col min="6" max="6" width="11.42578125" style="1"/>
    <col min="7" max="7" width="14.140625" style="1" bestFit="1" customWidth="1"/>
    <col min="8" max="8" width="8.85546875" style="1" customWidth="1"/>
    <col min="9" max="9" width="13.7109375" style="1" bestFit="1" customWidth="1"/>
    <col min="10" max="10" width="11.42578125" style="1"/>
    <col min="11" max="11" width="14.7109375" style="1" bestFit="1" customWidth="1"/>
    <col min="12" max="12" width="9" style="1" customWidth="1"/>
    <col min="13" max="13" width="13.5703125" style="1" customWidth="1"/>
    <col min="14" max="14" width="11.140625" style="1" customWidth="1"/>
    <col min="15" max="15" width="15" style="1" customWidth="1"/>
    <col min="16" max="16" width="7.85546875" style="1" customWidth="1"/>
    <col min="17" max="17" width="15.7109375" style="1" customWidth="1"/>
    <col min="18" max="18" width="20.42578125" style="1" customWidth="1"/>
    <col min="19" max="16384" width="11.42578125" style="1"/>
  </cols>
  <sheetData>
    <row r="1" spans="1:18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8" x14ac:dyDescent="0.25">
      <c r="A2" s="242" t="s">
        <v>122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8" x14ac:dyDescent="0.25">
      <c r="A3" s="242" t="s">
        <v>162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8" x14ac:dyDescent="0.25">
      <c r="A4" s="242" t="s">
        <v>225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8" x14ac:dyDescent="0.25">
      <c r="A5" s="243" t="s">
        <v>166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8" x14ac:dyDescent="0.25">
      <c r="A6" s="101"/>
      <c r="B6" s="273" t="s">
        <v>239</v>
      </c>
      <c r="C6" s="273"/>
      <c r="D6" s="273"/>
      <c r="E6" s="273"/>
      <c r="F6" s="274" t="s">
        <v>141</v>
      </c>
      <c r="G6" s="274"/>
      <c r="H6" s="274"/>
      <c r="I6" s="274"/>
      <c r="J6" s="272" t="s">
        <v>16</v>
      </c>
      <c r="K6" s="272"/>
      <c r="L6" s="272"/>
      <c r="M6" s="272"/>
      <c r="N6" s="276" t="s">
        <v>17</v>
      </c>
      <c r="O6" s="276"/>
      <c r="P6" s="276"/>
      <c r="Q6" s="276"/>
    </row>
    <row r="7" spans="1:18" x14ac:dyDescent="0.25">
      <c r="A7" s="193"/>
      <c r="B7" s="275" t="s">
        <v>26</v>
      </c>
      <c r="C7" s="275"/>
      <c r="D7" s="275" t="s">
        <v>27</v>
      </c>
      <c r="E7" s="275"/>
      <c r="F7" s="275" t="s">
        <v>26</v>
      </c>
      <c r="G7" s="275"/>
      <c r="H7" s="275" t="s">
        <v>27</v>
      </c>
      <c r="I7" s="275"/>
      <c r="J7" s="275" t="s">
        <v>26</v>
      </c>
      <c r="K7" s="275"/>
      <c r="L7" s="275" t="s">
        <v>27</v>
      </c>
      <c r="M7" s="275"/>
      <c r="N7" s="275" t="s">
        <v>119</v>
      </c>
      <c r="O7" s="275"/>
      <c r="P7" s="275" t="s">
        <v>27</v>
      </c>
      <c r="Q7" s="275"/>
    </row>
    <row r="8" spans="1:18" ht="32.25" customHeight="1" x14ac:dyDescent="0.25">
      <c r="A8" s="168" t="s">
        <v>1</v>
      </c>
      <c r="B8" s="152" t="s">
        <v>28</v>
      </c>
      <c r="C8" s="152" t="s">
        <v>20</v>
      </c>
      <c r="D8" s="152" t="s">
        <v>19</v>
      </c>
      <c r="E8" s="169" t="s">
        <v>20</v>
      </c>
      <c r="F8" s="152" t="s">
        <v>29</v>
      </c>
      <c r="G8" s="152" t="s">
        <v>20</v>
      </c>
      <c r="H8" s="152" t="s">
        <v>19</v>
      </c>
      <c r="I8" s="169" t="s">
        <v>20</v>
      </c>
      <c r="J8" s="152" t="s">
        <v>29</v>
      </c>
      <c r="K8" s="152" t="s">
        <v>20</v>
      </c>
      <c r="L8" s="152" t="s">
        <v>19</v>
      </c>
      <c r="M8" s="216" t="s">
        <v>20</v>
      </c>
      <c r="N8" s="152" t="s">
        <v>30</v>
      </c>
      <c r="O8" s="152" t="s">
        <v>20</v>
      </c>
      <c r="P8" s="152" t="s">
        <v>31</v>
      </c>
      <c r="Q8" s="169" t="s">
        <v>20</v>
      </c>
    </row>
    <row r="9" spans="1:18" x14ac:dyDescent="0.25">
      <c r="A9" s="48" t="s">
        <v>89</v>
      </c>
      <c r="B9" s="187">
        <v>126475</v>
      </c>
      <c r="C9" s="217">
        <v>1605930983.1300001</v>
      </c>
      <c r="D9" s="187">
        <v>2363</v>
      </c>
      <c r="E9" s="218">
        <v>22052011.16</v>
      </c>
      <c r="F9" s="187">
        <v>9772</v>
      </c>
      <c r="G9" s="217">
        <v>58632000</v>
      </c>
      <c r="H9" s="187">
        <v>1</v>
      </c>
      <c r="I9" s="218">
        <v>6000</v>
      </c>
      <c r="J9" s="187">
        <v>21302</v>
      </c>
      <c r="K9" s="217">
        <v>464190191.89999998</v>
      </c>
      <c r="L9" s="187">
        <v>124</v>
      </c>
      <c r="M9" s="218">
        <v>3357536.61</v>
      </c>
      <c r="N9" s="41">
        <f t="shared" ref="N9" si="0">+B9+J9+F9</f>
        <v>157549</v>
      </c>
      <c r="O9" s="41">
        <f t="shared" ref="O9" si="1">+C9+K9+G9</f>
        <v>2128753175.0300002</v>
      </c>
      <c r="P9" s="41">
        <f t="shared" ref="P9" si="2">+D9+L9+H9</f>
        <v>2488</v>
      </c>
      <c r="Q9" s="144">
        <f t="shared" ref="Q9" si="3">+E9+M9+I9</f>
        <v>25415547.77</v>
      </c>
    </row>
    <row r="10" spans="1:18" x14ac:dyDescent="0.25">
      <c r="A10" s="48" t="s">
        <v>88</v>
      </c>
      <c r="B10" s="187">
        <v>125284</v>
      </c>
      <c r="C10" s="217">
        <v>1592491769.0799999</v>
      </c>
      <c r="D10" s="187">
        <v>3612</v>
      </c>
      <c r="E10" s="218">
        <v>30734755.120000001</v>
      </c>
      <c r="F10" s="187">
        <v>9758</v>
      </c>
      <c r="G10" s="217">
        <v>58548000</v>
      </c>
      <c r="H10" s="187">
        <v>10</v>
      </c>
      <c r="I10" s="218">
        <v>60000</v>
      </c>
      <c r="J10" s="187">
        <v>21058</v>
      </c>
      <c r="K10" s="217">
        <v>450389826.74000001</v>
      </c>
      <c r="L10" s="187">
        <v>360</v>
      </c>
      <c r="M10" s="218">
        <v>16858536.489999998</v>
      </c>
      <c r="N10" s="41">
        <f t="shared" ref="N10:Q11" si="4">+B10+J10+F10</f>
        <v>156100</v>
      </c>
      <c r="O10" s="41">
        <f t="shared" si="4"/>
        <v>2101429595.8199999</v>
      </c>
      <c r="P10" s="41">
        <f t="shared" si="4"/>
        <v>3982</v>
      </c>
      <c r="Q10" s="144">
        <f t="shared" si="4"/>
        <v>47653291.609999999</v>
      </c>
    </row>
    <row r="11" spans="1:18" x14ac:dyDescent="0.25">
      <c r="A11" s="48" t="s">
        <v>87</v>
      </c>
      <c r="B11" s="187">
        <v>127827</v>
      </c>
      <c r="C11" s="217">
        <v>1609626044.47</v>
      </c>
      <c r="D11" s="187">
        <v>965</v>
      </c>
      <c r="E11" s="218">
        <v>9263019.2300000004</v>
      </c>
      <c r="F11" s="187">
        <v>9747</v>
      </c>
      <c r="G11" s="217">
        <v>58482000</v>
      </c>
      <c r="H11" s="187">
        <v>18</v>
      </c>
      <c r="I11" s="218">
        <v>108000</v>
      </c>
      <c r="J11" s="187">
        <v>21044</v>
      </c>
      <c r="K11" s="217">
        <v>449911208.85000002</v>
      </c>
      <c r="L11" s="187">
        <v>64</v>
      </c>
      <c r="M11" s="218">
        <v>1164248.6499999999</v>
      </c>
      <c r="N11" s="41">
        <f t="shared" si="4"/>
        <v>158618</v>
      </c>
      <c r="O11" s="41">
        <f t="shared" si="4"/>
        <v>2118019253.3200002</v>
      </c>
      <c r="P11" s="41">
        <f t="shared" si="4"/>
        <v>1047</v>
      </c>
      <c r="Q11" s="144">
        <f t="shared" si="4"/>
        <v>10535267.880000001</v>
      </c>
    </row>
    <row r="12" spans="1:18" x14ac:dyDescent="0.25">
      <c r="A12" s="50" t="s">
        <v>94</v>
      </c>
      <c r="B12" s="60">
        <f>+B9</f>
        <v>126475</v>
      </c>
      <c r="C12" s="60">
        <f>SUM(C9:C11)</f>
        <v>4808048796.6800003</v>
      </c>
      <c r="D12" s="236">
        <f>SUM(D9:D11)</f>
        <v>6940</v>
      </c>
      <c r="E12" s="60">
        <f>SUM(E9:E11)</f>
        <v>62049785.510000005</v>
      </c>
      <c r="F12" s="60">
        <f>+F9</f>
        <v>9772</v>
      </c>
      <c r="G12" s="61">
        <f>SUM(G9:G11)</f>
        <v>175662000</v>
      </c>
      <c r="H12" s="236">
        <f>SUM(H9:H11)</f>
        <v>29</v>
      </c>
      <c r="I12" s="60">
        <f>SUM(I9:I11)</f>
        <v>174000</v>
      </c>
      <c r="J12" s="60">
        <f>+J9</f>
        <v>21302</v>
      </c>
      <c r="K12" s="60">
        <f>SUM(K9:K11)</f>
        <v>1364491227.49</v>
      </c>
      <c r="L12" s="236">
        <f>SUM(L9:L11)</f>
        <v>548</v>
      </c>
      <c r="M12" s="60">
        <f>SUM(M9:M11)</f>
        <v>21380321.749999996</v>
      </c>
      <c r="N12" s="60">
        <f>+N9</f>
        <v>157549</v>
      </c>
      <c r="O12" s="60">
        <f>SUM(O9:O11)</f>
        <v>6348202024.1700001</v>
      </c>
      <c r="P12" s="236">
        <f>SUM(P9:P11)</f>
        <v>7517</v>
      </c>
      <c r="Q12" s="60">
        <f>SUM(Q9:Q11)</f>
        <v>83604107.25999999</v>
      </c>
      <c r="R12" s="39">
        <f>+O12+Q12</f>
        <v>6431806131.4300003</v>
      </c>
    </row>
    <row r="13" spans="1:18" hidden="1" x14ac:dyDescent="0.25">
      <c r="A13" s="48" t="s">
        <v>36</v>
      </c>
      <c r="B13" s="187"/>
      <c r="C13" s="217"/>
      <c r="D13" s="187"/>
      <c r="E13" s="218"/>
      <c r="F13" s="187"/>
      <c r="G13" s="217"/>
      <c r="H13" s="187"/>
      <c r="I13" s="218"/>
      <c r="J13" s="187"/>
      <c r="K13" s="217"/>
      <c r="L13" s="187"/>
      <c r="M13" s="218"/>
      <c r="N13" s="41">
        <f t="shared" ref="N13:Q15" si="5">+B13+J13+F13</f>
        <v>0</v>
      </c>
      <c r="O13" s="62">
        <f t="shared" si="5"/>
        <v>0</v>
      </c>
      <c r="P13" s="41">
        <f t="shared" si="5"/>
        <v>0</v>
      </c>
      <c r="Q13" s="62">
        <f t="shared" si="5"/>
        <v>0</v>
      </c>
    </row>
    <row r="14" spans="1:18" hidden="1" x14ac:dyDescent="0.25">
      <c r="A14" s="48" t="s">
        <v>37</v>
      </c>
      <c r="B14" s="187"/>
      <c r="C14" s="217"/>
      <c r="D14" s="187"/>
      <c r="E14" s="218"/>
      <c r="F14" s="187"/>
      <c r="G14" s="217"/>
      <c r="H14" s="187"/>
      <c r="I14" s="218"/>
      <c r="J14" s="187"/>
      <c r="K14" s="217"/>
      <c r="L14" s="187"/>
      <c r="M14" s="218"/>
      <c r="N14" s="41">
        <f t="shared" si="5"/>
        <v>0</v>
      </c>
      <c r="O14" s="62">
        <f t="shared" si="5"/>
        <v>0</v>
      </c>
      <c r="P14" s="41">
        <f t="shared" si="5"/>
        <v>0</v>
      </c>
      <c r="Q14" s="62">
        <f t="shared" si="5"/>
        <v>0</v>
      </c>
    </row>
    <row r="15" spans="1:18" hidden="1" x14ac:dyDescent="0.25">
      <c r="A15" s="48" t="s">
        <v>38</v>
      </c>
      <c r="B15" s="187"/>
      <c r="C15" s="217"/>
      <c r="D15" s="187"/>
      <c r="E15" s="218"/>
      <c r="F15" s="187"/>
      <c r="G15" s="217"/>
      <c r="H15" s="187"/>
      <c r="I15" s="218"/>
      <c r="J15" s="187"/>
      <c r="K15" s="217"/>
      <c r="L15" s="187"/>
      <c r="M15" s="218"/>
      <c r="N15" s="41">
        <f t="shared" si="5"/>
        <v>0</v>
      </c>
      <c r="O15" s="62">
        <f t="shared" si="5"/>
        <v>0</v>
      </c>
      <c r="P15" s="41">
        <f t="shared" si="5"/>
        <v>0</v>
      </c>
      <c r="Q15" s="62">
        <f t="shared" si="5"/>
        <v>0</v>
      </c>
    </row>
    <row r="16" spans="1:18" hidden="1" x14ac:dyDescent="0.25">
      <c r="A16" s="50" t="s">
        <v>131</v>
      </c>
      <c r="B16" s="60">
        <f>+B15</f>
        <v>0</v>
      </c>
      <c r="C16" s="61">
        <f>SUM(C13:C15)</f>
        <v>0</v>
      </c>
      <c r="D16" s="60">
        <f>+D15</f>
        <v>0</v>
      </c>
      <c r="E16" s="61">
        <f>SUM(E13:E15)</f>
        <v>0</v>
      </c>
      <c r="F16" s="60">
        <f>+F15</f>
        <v>0</v>
      </c>
      <c r="G16" s="61">
        <f>SUM(G13:G15)</f>
        <v>0</v>
      </c>
      <c r="H16" s="60">
        <f>+H15</f>
        <v>0</v>
      </c>
      <c r="I16" s="61">
        <f>SUM(I13:I15)</f>
        <v>0</v>
      </c>
      <c r="J16" s="60">
        <f>+J15</f>
        <v>0</v>
      </c>
      <c r="K16" s="61">
        <f>SUM(K13:K15)</f>
        <v>0</v>
      </c>
      <c r="L16" s="60">
        <f>+L15</f>
        <v>0</v>
      </c>
      <c r="M16" s="61">
        <f>SUM(M13:M15)</f>
        <v>0</v>
      </c>
      <c r="N16" s="60">
        <f>+N15</f>
        <v>0</v>
      </c>
      <c r="O16" s="61">
        <f>SUM(O13:O15)</f>
        <v>0</v>
      </c>
      <c r="P16" s="60">
        <f>+P15</f>
        <v>0</v>
      </c>
      <c r="Q16" s="61">
        <f>SUM(Q13:Q15)</f>
        <v>0</v>
      </c>
      <c r="R16" s="39"/>
    </row>
    <row r="17" spans="1:18" hidden="1" x14ac:dyDescent="0.25">
      <c r="A17" s="48" t="s">
        <v>87</v>
      </c>
      <c r="B17" s="187"/>
      <c r="C17" s="217"/>
      <c r="D17" s="187"/>
      <c r="E17" s="218"/>
      <c r="F17" s="187"/>
      <c r="G17" s="217"/>
      <c r="H17" s="187"/>
      <c r="I17" s="218"/>
      <c r="J17" s="187"/>
      <c r="K17" s="217"/>
      <c r="L17" s="187"/>
      <c r="M17" s="218"/>
      <c r="N17" s="41">
        <f t="shared" ref="N17:Q19" si="6">+B17+J17+F17</f>
        <v>0</v>
      </c>
      <c r="O17" s="62">
        <f t="shared" si="6"/>
        <v>0</v>
      </c>
      <c r="P17" s="41">
        <f t="shared" si="6"/>
        <v>0</v>
      </c>
      <c r="Q17" s="62">
        <f t="shared" si="6"/>
        <v>0</v>
      </c>
    </row>
    <row r="18" spans="1:18" hidden="1" x14ac:dyDescent="0.25">
      <c r="A18" s="48" t="s">
        <v>88</v>
      </c>
      <c r="B18" s="187"/>
      <c r="C18" s="217"/>
      <c r="D18" s="187"/>
      <c r="E18" s="218"/>
      <c r="F18" s="187"/>
      <c r="G18" s="217"/>
      <c r="H18" s="187"/>
      <c r="I18" s="218"/>
      <c r="J18" s="187"/>
      <c r="K18" s="217"/>
      <c r="L18" s="187"/>
      <c r="M18" s="218"/>
      <c r="N18" s="41">
        <f t="shared" si="6"/>
        <v>0</v>
      </c>
      <c r="O18" s="62">
        <f t="shared" si="6"/>
        <v>0</v>
      </c>
      <c r="P18" s="41">
        <f t="shared" si="6"/>
        <v>0</v>
      </c>
      <c r="Q18" s="62">
        <f t="shared" si="6"/>
        <v>0</v>
      </c>
    </row>
    <row r="19" spans="1:18" hidden="1" x14ac:dyDescent="0.25">
      <c r="A19" s="48" t="s">
        <v>89</v>
      </c>
      <c r="B19" s="187"/>
      <c r="C19" s="217"/>
      <c r="D19" s="187"/>
      <c r="E19" s="218"/>
      <c r="F19" s="187"/>
      <c r="G19" s="217"/>
      <c r="H19" s="187"/>
      <c r="I19" s="218"/>
      <c r="J19" s="187"/>
      <c r="K19" s="217"/>
      <c r="L19" s="187"/>
      <c r="M19" s="218"/>
      <c r="N19" s="41">
        <f t="shared" si="6"/>
        <v>0</v>
      </c>
      <c r="O19" s="62">
        <f t="shared" si="6"/>
        <v>0</v>
      </c>
      <c r="P19" s="41">
        <f t="shared" si="6"/>
        <v>0</v>
      </c>
      <c r="Q19" s="62">
        <f t="shared" si="6"/>
        <v>0</v>
      </c>
    </row>
    <row r="20" spans="1:18" hidden="1" x14ac:dyDescent="0.25">
      <c r="A20" s="50" t="s">
        <v>94</v>
      </c>
      <c r="B20" s="60">
        <f>+B19</f>
        <v>0</v>
      </c>
      <c r="C20" s="61">
        <f>SUM(C17:C19)</f>
        <v>0</v>
      </c>
      <c r="D20" s="60">
        <f>+D19</f>
        <v>0</v>
      </c>
      <c r="E20" s="61">
        <f>SUM(E17:E19)</f>
        <v>0</v>
      </c>
      <c r="F20" s="60">
        <f>+F19</f>
        <v>0</v>
      </c>
      <c r="G20" s="61">
        <f>SUM(G17:G19)</f>
        <v>0</v>
      </c>
      <c r="H20" s="60">
        <f>+H19</f>
        <v>0</v>
      </c>
      <c r="I20" s="61">
        <f>SUM(I17:I19)</f>
        <v>0</v>
      </c>
      <c r="J20" s="60">
        <f>+J19</f>
        <v>0</v>
      </c>
      <c r="K20" s="61">
        <f>SUM(K17:K19)</f>
        <v>0</v>
      </c>
      <c r="L20" s="60">
        <f>+L19</f>
        <v>0</v>
      </c>
      <c r="M20" s="61">
        <f>SUM(M17:M19)</f>
        <v>0</v>
      </c>
      <c r="N20" s="60">
        <f>+N19</f>
        <v>0</v>
      </c>
      <c r="O20" s="61">
        <f>SUM(O17:O19)</f>
        <v>0</v>
      </c>
      <c r="P20" s="60">
        <f>+P19</f>
        <v>0</v>
      </c>
      <c r="Q20" s="61">
        <f>SUM(Q17:Q19)</f>
        <v>0</v>
      </c>
      <c r="R20" s="39"/>
    </row>
    <row r="21" spans="1:18" hidden="1" x14ac:dyDescent="0.25">
      <c r="A21" s="48" t="s">
        <v>90</v>
      </c>
      <c r="B21" s="187"/>
      <c r="C21" s="217"/>
      <c r="D21" s="187"/>
      <c r="E21" s="218"/>
      <c r="F21" s="187"/>
      <c r="G21" s="217"/>
      <c r="H21" s="187"/>
      <c r="I21" s="218"/>
      <c r="J21" s="187"/>
      <c r="K21" s="217"/>
      <c r="L21" s="187"/>
      <c r="M21" s="218"/>
      <c r="N21" s="41">
        <f t="shared" ref="N21:Q24" si="7">+B21+J21+F21</f>
        <v>0</v>
      </c>
      <c r="O21" s="62">
        <f t="shared" si="7"/>
        <v>0</v>
      </c>
      <c r="P21" s="41">
        <f t="shared" si="7"/>
        <v>0</v>
      </c>
      <c r="Q21" s="62">
        <f t="shared" si="7"/>
        <v>0</v>
      </c>
    </row>
    <row r="22" spans="1:18" hidden="1" x14ac:dyDescent="0.25">
      <c r="A22" s="48" t="s">
        <v>91</v>
      </c>
      <c r="B22" s="187"/>
      <c r="C22" s="217"/>
      <c r="D22" s="187"/>
      <c r="E22" s="218"/>
      <c r="F22" s="187"/>
      <c r="G22" s="217"/>
      <c r="H22" s="187"/>
      <c r="I22" s="218"/>
      <c r="J22" s="187"/>
      <c r="K22" s="217"/>
      <c r="L22" s="187"/>
      <c r="M22" s="218"/>
      <c r="N22" s="41">
        <f t="shared" si="7"/>
        <v>0</v>
      </c>
      <c r="O22" s="62">
        <f t="shared" si="7"/>
        <v>0</v>
      </c>
      <c r="P22" s="41">
        <f t="shared" si="7"/>
        <v>0</v>
      </c>
      <c r="Q22" s="62">
        <f t="shared" si="7"/>
        <v>0</v>
      </c>
    </row>
    <row r="23" spans="1:18" hidden="1" x14ac:dyDescent="0.25">
      <c r="A23" s="48" t="s">
        <v>92</v>
      </c>
      <c r="B23" s="187"/>
      <c r="C23" s="217"/>
      <c r="D23" s="187"/>
      <c r="E23" s="218"/>
      <c r="F23" s="187"/>
      <c r="G23" s="217"/>
      <c r="H23" s="187"/>
      <c r="I23" s="218"/>
      <c r="J23" s="187"/>
      <c r="K23" s="217"/>
      <c r="L23" s="187"/>
      <c r="M23" s="218"/>
      <c r="N23" s="41">
        <f t="shared" si="7"/>
        <v>0</v>
      </c>
      <c r="O23" s="62">
        <f t="shared" si="7"/>
        <v>0</v>
      </c>
      <c r="P23" s="41">
        <f t="shared" si="7"/>
        <v>0</v>
      </c>
      <c r="Q23" s="62">
        <f t="shared" si="7"/>
        <v>0</v>
      </c>
    </row>
    <row r="24" spans="1:18" hidden="1" x14ac:dyDescent="0.25">
      <c r="A24" s="48" t="s">
        <v>128</v>
      </c>
      <c r="B24" s="187"/>
      <c r="C24" s="217"/>
      <c r="D24" s="187"/>
      <c r="E24" s="218"/>
      <c r="F24" s="187"/>
      <c r="G24" s="217"/>
      <c r="H24" s="187"/>
      <c r="I24" s="218"/>
      <c r="J24" s="187"/>
      <c r="K24" s="217"/>
      <c r="L24" s="187"/>
      <c r="M24" s="218"/>
      <c r="N24" s="41">
        <f t="shared" si="7"/>
        <v>0</v>
      </c>
      <c r="O24" s="62">
        <f t="shared" si="7"/>
        <v>0</v>
      </c>
      <c r="P24" s="41">
        <f t="shared" si="7"/>
        <v>0</v>
      </c>
      <c r="Q24" s="62">
        <f t="shared" si="7"/>
        <v>0</v>
      </c>
    </row>
    <row r="25" spans="1:18" hidden="1" x14ac:dyDescent="0.25">
      <c r="A25" s="50" t="s">
        <v>95</v>
      </c>
      <c r="B25" s="60">
        <f>+B23</f>
        <v>0</v>
      </c>
      <c r="C25" s="60">
        <f>SUM(C21:C24)</f>
        <v>0</v>
      </c>
      <c r="D25" s="60">
        <f>+D23</f>
        <v>0</v>
      </c>
      <c r="E25" s="61">
        <f>SUM(E21:E24)</f>
        <v>0</v>
      </c>
      <c r="F25" s="60">
        <f>+F23</f>
        <v>0</v>
      </c>
      <c r="G25" s="61">
        <f>SUM(G21:G24)</f>
        <v>0</v>
      </c>
      <c r="H25" s="60">
        <f>+H23</f>
        <v>0</v>
      </c>
      <c r="I25" s="61">
        <f>SUM(I21:I24)</f>
        <v>0</v>
      </c>
      <c r="J25" s="60">
        <f>+J23</f>
        <v>0</v>
      </c>
      <c r="K25" s="61">
        <f>SUM(K21:K24)</f>
        <v>0</v>
      </c>
      <c r="L25" s="60">
        <f>+L23</f>
        <v>0</v>
      </c>
      <c r="M25" s="61">
        <f>SUM(M21:M24)</f>
        <v>0</v>
      </c>
      <c r="N25" s="60">
        <f>+N23</f>
        <v>0</v>
      </c>
      <c r="O25" s="61">
        <f>SUM(O21:O24)</f>
        <v>0</v>
      </c>
      <c r="P25" s="60">
        <f>+P23</f>
        <v>0</v>
      </c>
      <c r="Q25" s="61">
        <f>SUM(Q21:Q24)</f>
        <v>0</v>
      </c>
      <c r="R25" s="39"/>
    </row>
    <row r="26" spans="1:18" hidden="1" x14ac:dyDescent="0.25">
      <c r="A26" s="53" t="s">
        <v>9</v>
      </c>
      <c r="B26" s="63">
        <f>+B25</f>
        <v>0</v>
      </c>
      <c r="C26" s="64">
        <f>+C12+C16+C20+C25</f>
        <v>4808048796.6800003</v>
      </c>
      <c r="D26" s="63">
        <f>+D25</f>
        <v>0</v>
      </c>
      <c r="E26" s="64">
        <f>+E12+E16+E20+E25</f>
        <v>62049785.510000005</v>
      </c>
      <c r="F26" s="63">
        <f>+F25</f>
        <v>0</v>
      </c>
      <c r="G26" s="64">
        <f>+G12+G16+G20+G25</f>
        <v>175662000</v>
      </c>
      <c r="H26" s="63">
        <f>+H25</f>
        <v>0</v>
      </c>
      <c r="I26" s="64">
        <f>+I12+I16+I20+I25</f>
        <v>174000</v>
      </c>
      <c r="J26" s="63">
        <f>+J25</f>
        <v>0</v>
      </c>
      <c r="K26" s="64">
        <f>+K12+K16+K20+K25</f>
        <v>1364491227.49</v>
      </c>
      <c r="L26" s="63">
        <f>+L25</f>
        <v>0</v>
      </c>
      <c r="M26" s="64">
        <f>+M12+M16+M20+M25</f>
        <v>21380321.749999996</v>
      </c>
      <c r="N26" s="63">
        <f>+N25</f>
        <v>0</v>
      </c>
      <c r="O26" s="64">
        <f>+O12+O16+O20+O25</f>
        <v>6348202024.1700001</v>
      </c>
      <c r="P26" s="63">
        <f>+P25</f>
        <v>0</v>
      </c>
      <c r="Q26" s="64">
        <f>+Q12+Q16+Q20+Q25</f>
        <v>83604107.25999999</v>
      </c>
      <c r="R26" s="39"/>
    </row>
    <row r="27" spans="1:18" x14ac:dyDescent="0.25">
      <c r="A27" s="175" t="s">
        <v>41</v>
      </c>
      <c r="B27" s="27"/>
      <c r="C27" s="27"/>
      <c r="D27" s="28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219">
        <f>O12/R12</f>
        <v>0.98700145720321764</v>
      </c>
      <c r="P27" s="219"/>
      <c r="Q27" s="219">
        <f>Q12/R12</f>
        <v>1.2998542796782352E-2</v>
      </c>
    </row>
    <row r="28" spans="1:18" x14ac:dyDescent="0.25">
      <c r="A28" s="162" t="s">
        <v>176</v>
      </c>
      <c r="B28" s="153"/>
      <c r="C28" s="220"/>
      <c r="D28" s="153"/>
      <c r="E28" s="153"/>
      <c r="F28" s="153"/>
      <c r="G28" s="220"/>
      <c r="H28" s="153"/>
      <c r="I28" s="153"/>
      <c r="J28" s="220"/>
      <c r="K28" s="220"/>
      <c r="L28" s="153"/>
      <c r="M28" s="153"/>
      <c r="N28" s="153"/>
      <c r="O28" s="220"/>
      <c r="P28" s="153"/>
      <c r="Q28" s="153"/>
    </row>
    <row r="29" spans="1:18" x14ac:dyDescent="0.25">
      <c r="B29" s="38"/>
    </row>
    <row r="47" spans="1:17" x14ac:dyDescent="0.25">
      <c r="A47" s="48"/>
      <c r="B47" s="187"/>
      <c r="C47" s="217"/>
      <c r="D47" s="187"/>
      <c r="E47" s="218"/>
      <c r="F47" s="187"/>
      <c r="G47" s="217"/>
      <c r="H47" s="187"/>
      <c r="I47" s="218"/>
      <c r="J47" s="187"/>
      <c r="K47" s="217"/>
      <c r="L47" s="187"/>
      <c r="M47" s="218"/>
      <c r="N47" s="41"/>
      <c r="O47" s="41"/>
      <c r="P47" s="41"/>
      <c r="Q47" s="144"/>
    </row>
    <row r="49" spans="1:17" x14ac:dyDescent="0.25">
      <c r="A49" s="48"/>
      <c r="B49" s="187"/>
      <c r="C49" s="217"/>
      <c r="D49" s="187"/>
      <c r="E49" s="218"/>
      <c r="F49" s="187"/>
      <c r="G49" s="217"/>
      <c r="H49" s="187"/>
      <c r="I49" s="218"/>
      <c r="J49" s="187"/>
      <c r="K49" s="217"/>
      <c r="L49" s="187"/>
      <c r="M49" s="218"/>
      <c r="N49" s="41"/>
      <c r="O49" s="41"/>
      <c r="P49" s="41"/>
      <c r="Q49" s="144"/>
    </row>
  </sheetData>
  <mergeCells count="17">
    <mergeCell ref="H7:I7"/>
    <mergeCell ref="J6:M6"/>
    <mergeCell ref="B6:E6"/>
    <mergeCell ref="F6:I6"/>
    <mergeCell ref="L7:M7"/>
    <mergeCell ref="A1:Q1"/>
    <mergeCell ref="A2:Q2"/>
    <mergeCell ref="A3:Q3"/>
    <mergeCell ref="A5:Q5"/>
    <mergeCell ref="B7:C7"/>
    <mergeCell ref="D7:E7"/>
    <mergeCell ref="J7:K7"/>
    <mergeCell ref="N6:Q6"/>
    <mergeCell ref="N7:O7"/>
    <mergeCell ref="P7:Q7"/>
    <mergeCell ref="A4:Q4"/>
    <mergeCell ref="F7:G7"/>
  </mergeCells>
  <pageMargins left="0.7" right="0.7" top="0.75" bottom="0.75" header="0.3" footer="0.3"/>
  <pageSetup paperSize="9" scale="42" orientation="portrait" r:id="rId1"/>
  <colBreaks count="1" manualBreakCount="1">
    <brk id="17" max="1048575" man="1"/>
  </colBreaks>
  <ignoredErrors>
    <ignoredError sqref="C25 E25 O12 E12 G12 I12 Q12" formula="1"/>
    <ignoredError sqref="Q27 O27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T39"/>
  <sheetViews>
    <sheetView showGridLines="0" topLeftCell="A26" zoomScaleNormal="100" workbookViewId="0">
      <selection activeCell="P46" sqref="P46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0.85546875" style="1" bestFit="1" customWidth="1"/>
    <col min="4" max="4" width="12.7109375" style="1" customWidth="1"/>
    <col min="5" max="5" width="12.5703125" style="1" hidden="1" customWidth="1"/>
    <col min="6" max="6" width="8.7109375" style="1" hidden="1" customWidth="1"/>
    <col min="7" max="7" width="0.42578125" style="1" hidden="1" customWidth="1"/>
    <col min="8" max="8" width="11.42578125" style="1" customWidth="1"/>
    <col min="9" max="9" width="14" style="1" bestFit="1" customWidth="1"/>
    <col min="10" max="10" width="13.7109375" style="1" customWidth="1"/>
    <col min="11" max="11" width="10.7109375" style="1" customWidth="1"/>
    <col min="12" max="12" width="10.85546875" style="1" customWidth="1"/>
    <col min="13" max="13" width="14.42578125" style="1" customWidth="1"/>
    <col min="14" max="14" width="11.42578125" style="1" customWidth="1"/>
    <col min="15" max="15" width="20.5703125" style="1" customWidth="1"/>
    <col min="16" max="16" width="35.140625" style="1" customWidth="1"/>
    <col min="17" max="17" width="11.7109375" style="1" bestFit="1" customWidth="1"/>
    <col min="18" max="18" width="18.42578125" style="1" customWidth="1"/>
    <col min="19" max="19" width="16" style="1" bestFit="1" customWidth="1"/>
    <col min="20" max="20" width="11.7109375" style="1" bestFit="1" customWidth="1"/>
    <col min="21" max="16384" width="11.42578125" style="1"/>
  </cols>
  <sheetData>
    <row r="1" spans="1:18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8" x14ac:dyDescent="0.25">
      <c r="A2" s="242" t="s">
        <v>122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8" x14ac:dyDescent="0.25">
      <c r="A3" s="242" t="s">
        <v>163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8" x14ac:dyDescent="0.25">
      <c r="A4" s="242" t="s">
        <v>234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18" x14ac:dyDescent="0.25">
      <c r="A5" s="243" t="s">
        <v>166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8" x14ac:dyDescent="0.25">
      <c r="A6" s="101"/>
      <c r="B6" s="273" t="s">
        <v>239</v>
      </c>
      <c r="C6" s="273"/>
      <c r="D6" s="273"/>
      <c r="E6" s="274" t="s">
        <v>141</v>
      </c>
      <c r="F6" s="274"/>
      <c r="G6" s="274"/>
      <c r="H6" s="272" t="s">
        <v>16</v>
      </c>
      <c r="I6" s="272"/>
      <c r="J6" s="272"/>
      <c r="K6" s="276" t="s">
        <v>17</v>
      </c>
      <c r="L6" s="276"/>
      <c r="M6" s="276"/>
      <c r="N6" s="153"/>
      <c r="O6" s="153"/>
      <c r="P6" s="153"/>
      <c r="Q6" s="153"/>
      <c r="R6" s="153"/>
    </row>
    <row r="7" spans="1:18" ht="34.5" customHeight="1" x14ac:dyDescent="0.25">
      <c r="A7" s="102" t="s">
        <v>1</v>
      </c>
      <c r="B7" s="49" t="s">
        <v>49</v>
      </c>
      <c r="C7" s="49" t="s">
        <v>51</v>
      </c>
      <c r="D7" s="49" t="s">
        <v>20</v>
      </c>
      <c r="E7" s="49" t="s">
        <v>49</v>
      </c>
      <c r="F7" s="49" t="s">
        <v>51</v>
      </c>
      <c r="G7" s="49" t="s">
        <v>20</v>
      </c>
      <c r="H7" s="49" t="s">
        <v>49</v>
      </c>
      <c r="I7" s="49" t="s">
        <v>51</v>
      </c>
      <c r="J7" s="49" t="s">
        <v>20</v>
      </c>
      <c r="K7" s="49" t="s">
        <v>18</v>
      </c>
      <c r="L7" s="49" t="s">
        <v>19</v>
      </c>
      <c r="M7" s="49" t="s">
        <v>20</v>
      </c>
      <c r="N7" s="153"/>
      <c r="O7" s="153"/>
      <c r="P7" s="153"/>
      <c r="Q7" s="153"/>
      <c r="R7" s="153"/>
    </row>
    <row r="8" spans="1:18" x14ac:dyDescent="0.25">
      <c r="A8" s="48" t="s">
        <v>89</v>
      </c>
      <c r="B8" s="187">
        <v>325</v>
      </c>
      <c r="C8" s="187">
        <v>354</v>
      </c>
      <c r="D8" s="143">
        <v>16139691.23</v>
      </c>
      <c r="E8" s="143"/>
      <c r="F8" s="143"/>
      <c r="G8" s="221"/>
      <c r="H8" s="222">
        <v>107</v>
      </c>
      <c r="I8" s="223">
        <v>107</v>
      </c>
      <c r="J8" s="143">
        <v>9054660.6400000006</v>
      </c>
      <c r="K8" s="41">
        <f t="shared" ref="K8" si="0">+B8+H8+E8</f>
        <v>432</v>
      </c>
      <c r="L8" s="41">
        <f t="shared" ref="L8" si="1">+C8+I8+F8</f>
        <v>461</v>
      </c>
      <c r="M8" s="41">
        <f t="shared" ref="M8" si="2">+D8+J8+G8</f>
        <v>25194351.870000001</v>
      </c>
      <c r="N8" s="153"/>
      <c r="O8" s="153"/>
      <c r="P8" s="153"/>
      <c r="Q8" s="153"/>
      <c r="R8" s="153"/>
    </row>
    <row r="9" spans="1:18" x14ac:dyDescent="0.25">
      <c r="A9" s="48" t="s">
        <v>88</v>
      </c>
      <c r="B9" s="187">
        <v>1014</v>
      </c>
      <c r="C9" s="187">
        <v>1029</v>
      </c>
      <c r="D9" s="143">
        <v>23299882.07</v>
      </c>
      <c r="E9" s="143"/>
      <c r="F9" s="143"/>
      <c r="G9" s="221"/>
      <c r="H9" s="222">
        <v>144</v>
      </c>
      <c r="I9" s="223">
        <v>144</v>
      </c>
      <c r="J9" s="143">
        <v>14540992.43</v>
      </c>
      <c r="K9" s="41">
        <f t="shared" ref="K9:M10" si="3">+B9+H9+E9</f>
        <v>1158</v>
      </c>
      <c r="L9" s="41">
        <f t="shared" si="3"/>
        <v>1173</v>
      </c>
      <c r="M9" s="41">
        <f t="shared" si="3"/>
        <v>37840874.5</v>
      </c>
      <c r="N9" s="153"/>
      <c r="O9" s="153"/>
      <c r="P9" s="153"/>
      <c r="Q9" s="153"/>
      <c r="R9" s="153"/>
    </row>
    <row r="10" spans="1:18" x14ac:dyDescent="0.25">
      <c r="A10" s="48" t="s">
        <v>87</v>
      </c>
      <c r="B10" s="187">
        <v>232</v>
      </c>
      <c r="C10" s="187">
        <v>262</v>
      </c>
      <c r="D10" s="143">
        <v>16840729.530000001</v>
      </c>
      <c r="E10" s="143"/>
      <c r="F10" s="143"/>
      <c r="G10" s="221"/>
      <c r="H10" s="222">
        <v>96</v>
      </c>
      <c r="I10" s="223">
        <v>96</v>
      </c>
      <c r="J10" s="143">
        <v>9938082.9600000009</v>
      </c>
      <c r="K10" s="41">
        <f t="shared" si="3"/>
        <v>328</v>
      </c>
      <c r="L10" s="41">
        <f t="shared" si="3"/>
        <v>358</v>
      </c>
      <c r="M10" s="41">
        <f t="shared" si="3"/>
        <v>26778812.490000002</v>
      </c>
      <c r="N10" s="153"/>
      <c r="O10" s="153"/>
      <c r="P10" s="153"/>
      <c r="Q10" s="153"/>
      <c r="R10" s="153"/>
    </row>
    <row r="11" spans="1:18" x14ac:dyDescent="0.25">
      <c r="A11" s="50" t="s">
        <v>94</v>
      </c>
      <c r="B11" s="43">
        <f t="shared" ref="B11:M11" si="4">SUM(B8:B10)</f>
        <v>1571</v>
      </c>
      <c r="C11" s="43">
        <f t="shared" si="4"/>
        <v>1645</v>
      </c>
      <c r="D11" s="43">
        <f t="shared" si="4"/>
        <v>56280302.829999998</v>
      </c>
      <c r="E11" s="43">
        <f t="shared" ref="E11:J11" si="5">SUM(E8:E10)</f>
        <v>0</v>
      </c>
      <c r="F11" s="43">
        <f t="shared" si="5"/>
        <v>0</v>
      </c>
      <c r="G11" s="43">
        <f t="shared" si="5"/>
        <v>0</v>
      </c>
      <c r="H11" s="145">
        <f t="shared" si="5"/>
        <v>347</v>
      </c>
      <c r="I11" s="145">
        <f t="shared" si="5"/>
        <v>347</v>
      </c>
      <c r="J11" s="43">
        <f t="shared" si="5"/>
        <v>33533736.030000001</v>
      </c>
      <c r="K11" s="43">
        <f t="shared" si="4"/>
        <v>1918</v>
      </c>
      <c r="L11" s="43">
        <f t="shared" si="4"/>
        <v>1992</v>
      </c>
      <c r="M11" s="43">
        <f t="shared" si="4"/>
        <v>89814038.860000014</v>
      </c>
      <c r="N11" s="153"/>
      <c r="O11" s="153"/>
      <c r="P11" s="153"/>
      <c r="Q11" s="153"/>
      <c r="R11" s="153"/>
    </row>
    <row r="12" spans="1:18" hidden="1" x14ac:dyDescent="0.25">
      <c r="A12" s="48" t="s">
        <v>36</v>
      </c>
      <c r="B12" s="143"/>
      <c r="C12" s="143"/>
      <c r="D12" s="221"/>
      <c r="E12" s="143"/>
      <c r="F12" s="143"/>
      <c r="G12" s="221"/>
      <c r="H12" s="143"/>
      <c r="I12" s="143"/>
      <c r="J12" s="221"/>
      <c r="K12" s="40">
        <f t="shared" ref="K12:M14" si="6">+B12+H12+E12</f>
        <v>0</v>
      </c>
      <c r="L12" s="40">
        <f t="shared" si="6"/>
        <v>0</v>
      </c>
      <c r="M12" s="70">
        <f t="shared" si="6"/>
        <v>0</v>
      </c>
      <c r="N12" s="153"/>
      <c r="O12" s="153"/>
      <c r="P12" s="153"/>
      <c r="Q12" s="153"/>
      <c r="R12" s="153"/>
    </row>
    <row r="13" spans="1:18" hidden="1" x14ac:dyDescent="0.25">
      <c r="A13" s="48" t="s">
        <v>37</v>
      </c>
      <c r="B13" s="143"/>
      <c r="C13" s="143"/>
      <c r="D13" s="221"/>
      <c r="E13" s="143"/>
      <c r="F13" s="143"/>
      <c r="G13" s="221"/>
      <c r="H13" s="143"/>
      <c r="I13" s="143"/>
      <c r="J13" s="221"/>
      <c r="K13" s="40">
        <f t="shared" si="6"/>
        <v>0</v>
      </c>
      <c r="L13" s="40">
        <f t="shared" si="6"/>
        <v>0</v>
      </c>
      <c r="M13" s="70">
        <f t="shared" si="6"/>
        <v>0</v>
      </c>
      <c r="N13" s="153"/>
      <c r="O13" s="153"/>
      <c r="P13" s="153"/>
      <c r="Q13" s="153"/>
      <c r="R13" s="153"/>
    </row>
    <row r="14" spans="1:18" hidden="1" x14ac:dyDescent="0.25">
      <c r="A14" s="48" t="s">
        <v>38</v>
      </c>
      <c r="B14" s="143"/>
      <c r="C14" s="143"/>
      <c r="D14" s="221"/>
      <c r="E14" s="143"/>
      <c r="F14" s="143"/>
      <c r="G14" s="221"/>
      <c r="H14" s="143"/>
      <c r="I14" s="143"/>
      <c r="J14" s="221"/>
      <c r="K14" s="40">
        <f t="shared" si="6"/>
        <v>0</v>
      </c>
      <c r="L14" s="40">
        <f t="shared" si="6"/>
        <v>0</v>
      </c>
      <c r="M14" s="70">
        <f t="shared" si="6"/>
        <v>0</v>
      </c>
      <c r="N14" s="153"/>
      <c r="O14" s="153"/>
      <c r="P14" s="153"/>
      <c r="Q14" s="153"/>
      <c r="R14" s="153"/>
    </row>
    <row r="15" spans="1:18" hidden="1" x14ac:dyDescent="0.25">
      <c r="A15" s="30" t="s">
        <v>131</v>
      </c>
      <c r="B15" s="42">
        <f t="shared" ref="B15:M15" si="7">SUM(B12:B14)</f>
        <v>0</v>
      </c>
      <c r="C15" s="42">
        <f t="shared" si="7"/>
        <v>0</v>
      </c>
      <c r="D15" s="42">
        <f t="shared" si="7"/>
        <v>0</v>
      </c>
      <c r="E15" s="42">
        <f t="shared" ref="E15:J15" si="8">SUM(E12:E14)</f>
        <v>0</v>
      </c>
      <c r="F15" s="42">
        <f t="shared" si="8"/>
        <v>0</v>
      </c>
      <c r="G15" s="42">
        <f t="shared" si="8"/>
        <v>0</v>
      </c>
      <c r="H15" s="42">
        <f t="shared" si="8"/>
        <v>0</v>
      </c>
      <c r="I15" s="42">
        <f t="shared" si="8"/>
        <v>0</v>
      </c>
      <c r="J15" s="42">
        <f t="shared" si="8"/>
        <v>0</v>
      </c>
      <c r="K15" s="42">
        <f t="shared" si="7"/>
        <v>0</v>
      </c>
      <c r="L15" s="42">
        <f t="shared" si="7"/>
        <v>0</v>
      </c>
      <c r="M15" s="42">
        <f t="shared" si="7"/>
        <v>0</v>
      </c>
      <c r="N15" s="153"/>
      <c r="O15" s="153"/>
      <c r="P15" s="153"/>
      <c r="Q15" s="153"/>
      <c r="R15" s="153"/>
    </row>
    <row r="16" spans="1:18" hidden="1" x14ac:dyDescent="0.25">
      <c r="A16" s="48" t="s">
        <v>87</v>
      </c>
      <c r="B16" s="143"/>
      <c r="C16" s="143"/>
      <c r="D16" s="221"/>
      <c r="E16" s="143"/>
      <c r="F16" s="143"/>
      <c r="G16" s="221"/>
      <c r="H16" s="143"/>
      <c r="I16" s="143"/>
      <c r="J16" s="221"/>
      <c r="K16" s="40">
        <f t="shared" ref="K16:M18" si="9">+B16+H16+E16</f>
        <v>0</v>
      </c>
      <c r="L16" s="40">
        <f t="shared" si="9"/>
        <v>0</v>
      </c>
      <c r="M16" s="70">
        <f t="shared" si="9"/>
        <v>0</v>
      </c>
      <c r="N16" s="153"/>
      <c r="O16" s="153"/>
      <c r="P16" s="153"/>
      <c r="Q16" s="153"/>
      <c r="R16" s="153"/>
    </row>
    <row r="17" spans="1:20" hidden="1" x14ac:dyDescent="0.25">
      <c r="A17" s="48" t="s">
        <v>88</v>
      </c>
      <c r="B17" s="143"/>
      <c r="C17" s="143"/>
      <c r="D17" s="221"/>
      <c r="E17" s="143"/>
      <c r="F17" s="143"/>
      <c r="G17" s="221"/>
      <c r="H17" s="143"/>
      <c r="I17" s="143"/>
      <c r="J17" s="221"/>
      <c r="K17" s="40">
        <f t="shared" si="9"/>
        <v>0</v>
      </c>
      <c r="L17" s="40">
        <f t="shared" si="9"/>
        <v>0</v>
      </c>
      <c r="M17" s="70">
        <f t="shared" si="9"/>
        <v>0</v>
      </c>
      <c r="N17" s="153"/>
      <c r="O17" s="153"/>
      <c r="P17" s="153"/>
      <c r="Q17" s="153"/>
      <c r="R17" s="153"/>
    </row>
    <row r="18" spans="1:20" hidden="1" x14ac:dyDescent="0.25">
      <c r="A18" s="48" t="s">
        <v>89</v>
      </c>
      <c r="B18" s="143"/>
      <c r="C18" s="143"/>
      <c r="D18" s="221"/>
      <c r="E18" s="143"/>
      <c r="F18" s="143"/>
      <c r="G18" s="221"/>
      <c r="H18" s="143"/>
      <c r="I18" s="143"/>
      <c r="J18" s="221"/>
      <c r="K18" s="40">
        <f t="shared" si="9"/>
        <v>0</v>
      </c>
      <c r="L18" s="40">
        <f t="shared" si="9"/>
        <v>0</v>
      </c>
      <c r="M18" s="70">
        <f t="shared" si="9"/>
        <v>0</v>
      </c>
      <c r="N18" s="153"/>
      <c r="O18" s="153"/>
      <c r="P18" s="153"/>
      <c r="Q18" s="153"/>
      <c r="R18" s="153"/>
    </row>
    <row r="19" spans="1:20" hidden="1" x14ac:dyDescent="0.25">
      <c r="A19" s="30" t="s">
        <v>94</v>
      </c>
      <c r="B19" s="42">
        <f t="shared" ref="B19:D19" si="10">SUM(B16:B18)</f>
        <v>0</v>
      </c>
      <c r="C19" s="42">
        <f t="shared" si="10"/>
        <v>0</v>
      </c>
      <c r="D19" s="42">
        <f t="shared" si="10"/>
        <v>0</v>
      </c>
      <c r="E19" s="42">
        <f t="shared" ref="E19:M19" si="11">SUM(E16:E18)</f>
        <v>0</v>
      </c>
      <c r="F19" s="42">
        <f t="shared" si="11"/>
        <v>0</v>
      </c>
      <c r="G19" s="42">
        <f t="shared" si="11"/>
        <v>0</v>
      </c>
      <c r="H19" s="42">
        <f>SUM(H16:H18)</f>
        <v>0</v>
      </c>
      <c r="I19" s="42">
        <f>SUM(I16:I18)</f>
        <v>0</v>
      </c>
      <c r="J19" s="42">
        <f>SUM(J16:J18)</f>
        <v>0</v>
      </c>
      <c r="K19" s="42">
        <f t="shared" si="11"/>
        <v>0</v>
      </c>
      <c r="L19" s="42">
        <f t="shared" si="11"/>
        <v>0</v>
      </c>
      <c r="M19" s="42">
        <f t="shared" si="11"/>
        <v>0</v>
      </c>
      <c r="N19" s="153"/>
      <c r="O19" s="153"/>
      <c r="P19" s="153"/>
      <c r="Q19" s="153"/>
      <c r="R19" s="153"/>
    </row>
    <row r="20" spans="1:20" hidden="1" x14ac:dyDescent="0.25">
      <c r="A20" s="48" t="s">
        <v>90</v>
      </c>
      <c r="B20" s="143"/>
      <c r="C20" s="143"/>
      <c r="D20" s="221"/>
      <c r="E20" s="143"/>
      <c r="F20" s="143"/>
      <c r="G20" s="221"/>
      <c r="H20" s="143"/>
      <c r="I20" s="143"/>
      <c r="J20" s="221"/>
      <c r="K20" s="40">
        <f t="shared" ref="K20:M22" si="12">+B20+H20+E20</f>
        <v>0</v>
      </c>
      <c r="L20" s="40">
        <f t="shared" si="12"/>
        <v>0</v>
      </c>
      <c r="M20" s="70">
        <f t="shared" si="12"/>
        <v>0</v>
      </c>
      <c r="N20" s="153"/>
      <c r="O20" s="153"/>
      <c r="P20" s="153"/>
      <c r="Q20" s="153"/>
      <c r="R20" s="153"/>
    </row>
    <row r="21" spans="1:20" hidden="1" x14ac:dyDescent="0.25">
      <c r="A21" s="48" t="s">
        <v>91</v>
      </c>
      <c r="B21" s="143"/>
      <c r="C21" s="143"/>
      <c r="D21" s="221"/>
      <c r="E21" s="143"/>
      <c r="F21" s="143"/>
      <c r="G21" s="221"/>
      <c r="H21" s="143"/>
      <c r="I21" s="143"/>
      <c r="J21" s="221"/>
      <c r="K21" s="40">
        <f t="shared" si="12"/>
        <v>0</v>
      </c>
      <c r="L21" s="40">
        <f t="shared" si="12"/>
        <v>0</v>
      </c>
      <c r="M21" s="70">
        <f t="shared" si="12"/>
        <v>0</v>
      </c>
      <c r="N21" s="153"/>
      <c r="O21" s="153"/>
      <c r="P21" s="153"/>
      <c r="Q21" s="153"/>
      <c r="R21" s="153"/>
    </row>
    <row r="22" spans="1:20" hidden="1" x14ac:dyDescent="0.25">
      <c r="A22" s="48" t="s">
        <v>129</v>
      </c>
      <c r="B22" s="143"/>
      <c r="C22" s="143"/>
      <c r="D22" s="221"/>
      <c r="E22" s="143"/>
      <c r="F22" s="143"/>
      <c r="G22" s="221"/>
      <c r="H22" s="143"/>
      <c r="I22" s="143"/>
      <c r="J22" s="221"/>
      <c r="K22" s="40">
        <f t="shared" si="12"/>
        <v>0</v>
      </c>
      <c r="L22" s="40">
        <f t="shared" si="12"/>
        <v>0</v>
      </c>
      <c r="M22" s="70">
        <f t="shared" si="12"/>
        <v>0</v>
      </c>
      <c r="N22" s="153"/>
      <c r="O22" s="153"/>
      <c r="P22" s="153"/>
      <c r="Q22" s="153"/>
      <c r="R22" s="153"/>
    </row>
    <row r="23" spans="1:20" hidden="1" x14ac:dyDescent="0.25">
      <c r="A23" s="30" t="s">
        <v>95</v>
      </c>
      <c r="B23" s="42">
        <f t="shared" ref="B23:M23" si="13">SUM(B20:B22)</f>
        <v>0</v>
      </c>
      <c r="C23" s="42">
        <f t="shared" si="13"/>
        <v>0</v>
      </c>
      <c r="D23" s="42">
        <f t="shared" si="13"/>
        <v>0</v>
      </c>
      <c r="E23" s="42">
        <f t="shared" ref="E23:J23" si="14">SUM(E20:E22)</f>
        <v>0</v>
      </c>
      <c r="F23" s="42">
        <f t="shared" si="14"/>
        <v>0</v>
      </c>
      <c r="G23" s="42">
        <f t="shared" si="14"/>
        <v>0</v>
      </c>
      <c r="H23" s="42">
        <f t="shared" si="14"/>
        <v>0</v>
      </c>
      <c r="I23" s="42">
        <f t="shared" si="14"/>
        <v>0</v>
      </c>
      <c r="J23" s="42">
        <f t="shared" si="14"/>
        <v>0</v>
      </c>
      <c r="K23" s="42">
        <f t="shared" si="13"/>
        <v>0</v>
      </c>
      <c r="L23" s="42">
        <f t="shared" si="13"/>
        <v>0</v>
      </c>
      <c r="M23" s="42">
        <f t="shared" si="13"/>
        <v>0</v>
      </c>
      <c r="N23" s="153"/>
      <c r="O23" s="153"/>
      <c r="P23" s="153"/>
      <c r="Q23" s="153"/>
      <c r="R23" s="153"/>
    </row>
    <row r="24" spans="1:20" hidden="1" x14ac:dyDescent="0.25">
      <c r="A24" s="76" t="s">
        <v>9</v>
      </c>
      <c r="B24" s="44">
        <f t="shared" ref="B24:K24" si="15">+B11+B15+B19+B23</f>
        <v>1571</v>
      </c>
      <c r="C24" s="44">
        <f t="shared" si="15"/>
        <v>1645</v>
      </c>
      <c r="D24" s="44">
        <f t="shared" si="15"/>
        <v>56280302.829999998</v>
      </c>
      <c r="E24" s="44">
        <f t="shared" si="15"/>
        <v>0</v>
      </c>
      <c r="F24" s="44">
        <f t="shared" si="15"/>
        <v>0</v>
      </c>
      <c r="G24" s="44">
        <f t="shared" si="15"/>
        <v>0</v>
      </c>
      <c r="H24" s="44">
        <f t="shared" si="15"/>
        <v>347</v>
      </c>
      <c r="I24" s="44">
        <f t="shared" si="15"/>
        <v>347</v>
      </c>
      <c r="J24" s="44">
        <f t="shared" si="15"/>
        <v>33533736.030000001</v>
      </c>
      <c r="K24" s="44">
        <f t="shared" si="15"/>
        <v>1918</v>
      </c>
      <c r="L24" s="44">
        <f t="shared" ref="L24:M24" si="16">+L11+L15+L19+L23</f>
        <v>1992</v>
      </c>
      <c r="M24" s="44">
        <f t="shared" si="16"/>
        <v>89814038.860000014</v>
      </c>
      <c r="N24" s="153"/>
      <c r="O24" s="153"/>
      <c r="P24" s="153"/>
      <c r="Q24" s="153"/>
      <c r="R24" s="153"/>
    </row>
    <row r="25" spans="1:20" hidden="1" x14ac:dyDescent="0.25">
      <c r="A25" s="224" t="s">
        <v>130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</row>
    <row r="26" spans="1:20" x14ac:dyDescent="0.25">
      <c r="A26" s="162" t="s">
        <v>176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</row>
    <row r="27" spans="1:20" x14ac:dyDescent="0.2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</row>
    <row r="28" spans="1:20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</row>
    <row r="29" spans="1:20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</row>
    <row r="30" spans="1:20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20" x14ac:dyDescent="0.25">
      <c r="A31" s="48"/>
      <c r="B31" s="187"/>
      <c r="C31" s="187"/>
      <c r="D31" s="143"/>
      <c r="E31" s="143"/>
      <c r="F31" s="143"/>
      <c r="G31" s="221"/>
      <c r="H31" s="222"/>
      <c r="I31" s="223"/>
      <c r="J31" s="143"/>
      <c r="K31" s="41"/>
      <c r="L31" s="41"/>
      <c r="M31" s="41"/>
    </row>
    <row r="32" spans="1:20" x14ac:dyDescent="0.25">
      <c r="Q32" s="56"/>
      <c r="R32" s="68"/>
      <c r="S32" s="57"/>
      <c r="T32" s="69"/>
    </row>
    <row r="33" spans="1:20" x14ac:dyDescent="0.25">
      <c r="A33" s="48"/>
      <c r="B33" s="187"/>
      <c r="C33" s="187"/>
      <c r="D33" s="143"/>
      <c r="E33" s="143"/>
      <c r="F33" s="143"/>
      <c r="G33" s="221"/>
      <c r="H33" s="222"/>
      <c r="I33" s="223"/>
      <c r="J33" s="143"/>
      <c r="K33" s="41"/>
      <c r="L33" s="41"/>
      <c r="M33" s="41"/>
      <c r="Q33" s="56"/>
      <c r="R33" s="68"/>
      <c r="S33" s="57"/>
      <c r="T33" s="69"/>
    </row>
    <row r="34" spans="1:20" x14ac:dyDescent="0.25">
      <c r="Q34" s="56"/>
      <c r="R34" s="68"/>
      <c r="S34" s="57"/>
      <c r="T34" s="69"/>
    </row>
    <row r="35" spans="1:20" x14ac:dyDescent="0.25">
      <c r="Q35" s="56"/>
      <c r="R35" s="68"/>
      <c r="S35" s="57"/>
      <c r="T35" s="69"/>
    </row>
    <row r="36" spans="1:20" x14ac:dyDescent="0.25">
      <c r="Q36" s="56"/>
      <c r="R36" s="68"/>
      <c r="S36" s="57"/>
      <c r="T36" s="69"/>
    </row>
    <row r="37" spans="1:20" x14ac:dyDescent="0.25">
      <c r="Q37" s="56"/>
      <c r="R37" s="68"/>
      <c r="S37" s="57"/>
      <c r="T37" s="69"/>
    </row>
    <row r="38" spans="1:20" x14ac:dyDescent="0.25">
      <c r="Q38" s="56"/>
      <c r="R38" s="68"/>
      <c r="S38" s="57"/>
      <c r="T38" s="69"/>
    </row>
    <row r="39" spans="1:20" x14ac:dyDescent="0.25">
      <c r="Q39" s="56"/>
      <c r="R39" s="68"/>
      <c r="S39" s="57"/>
      <c r="T39" s="69"/>
    </row>
  </sheetData>
  <mergeCells count="9"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72" orientation="portrait" r:id="rId1"/>
  <rowBreaks count="1" manualBreakCount="1">
    <brk id="45" max="9" man="1"/>
  </rowBreaks>
  <ignoredErrors>
    <ignoredError sqref="K11:M11" formula="1"/>
  </ignoredError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P39"/>
  <sheetViews>
    <sheetView showGridLines="0" workbookViewId="0">
      <selection activeCell="F8" sqref="F8:G10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5703125" style="1" customWidth="1"/>
    <col min="5" max="5" width="17.85546875" style="1" bestFit="1" customWidth="1"/>
    <col min="6" max="6" width="12.5703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242" t="s">
        <v>6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5">
      <c r="A2" s="242" t="s">
        <v>122</v>
      </c>
      <c r="B2" s="242"/>
      <c r="C2" s="242"/>
      <c r="D2" s="242"/>
      <c r="E2" s="242"/>
      <c r="F2" s="242"/>
      <c r="G2" s="242"/>
      <c r="H2" s="242"/>
      <c r="I2" s="242"/>
    </row>
    <row r="3" spans="1:9" x14ac:dyDescent="0.25">
      <c r="A3" s="242" t="s">
        <v>168</v>
      </c>
      <c r="B3" s="242"/>
      <c r="C3" s="242"/>
      <c r="D3" s="242"/>
      <c r="E3" s="242"/>
      <c r="F3" s="242"/>
      <c r="G3" s="242"/>
      <c r="H3" s="242"/>
      <c r="I3" s="242"/>
    </row>
    <row r="4" spans="1:9" x14ac:dyDescent="0.25">
      <c r="A4" s="242" t="s">
        <v>220</v>
      </c>
      <c r="B4" s="242"/>
      <c r="C4" s="242"/>
      <c r="D4" s="242"/>
      <c r="E4" s="242"/>
      <c r="F4" s="242"/>
      <c r="G4" s="242"/>
      <c r="H4" s="242"/>
      <c r="I4" s="242"/>
    </row>
    <row r="5" spans="1:9" x14ac:dyDescent="0.25">
      <c r="A5" s="243" t="s">
        <v>166</v>
      </c>
      <c r="B5" s="243"/>
      <c r="C5" s="243"/>
      <c r="D5" s="243"/>
      <c r="E5" s="243"/>
      <c r="F5" s="243"/>
      <c r="G5" s="243"/>
      <c r="H5" s="243"/>
      <c r="I5" s="243"/>
    </row>
    <row r="6" spans="1:9" x14ac:dyDescent="0.25">
      <c r="A6" s="101"/>
      <c r="B6" s="273" t="s">
        <v>15</v>
      </c>
      <c r="C6" s="273"/>
      <c r="D6" s="272" t="s">
        <v>16</v>
      </c>
      <c r="E6" s="272"/>
      <c r="F6" s="274" t="s">
        <v>141</v>
      </c>
      <c r="G6" s="274"/>
      <c r="H6" s="276" t="s">
        <v>17</v>
      </c>
      <c r="I6" s="276"/>
    </row>
    <row r="7" spans="1:9" ht="34.5" customHeight="1" x14ac:dyDescent="0.25">
      <c r="A7" s="102" t="s">
        <v>1</v>
      </c>
      <c r="B7" s="49" t="s">
        <v>169</v>
      </c>
      <c r="C7" s="49" t="s">
        <v>20</v>
      </c>
      <c r="D7" s="49" t="s">
        <v>169</v>
      </c>
      <c r="E7" s="49" t="s">
        <v>20</v>
      </c>
      <c r="F7" s="49" t="s">
        <v>169</v>
      </c>
      <c r="G7" s="49" t="s">
        <v>20</v>
      </c>
      <c r="H7" s="49" t="s">
        <v>169</v>
      </c>
      <c r="I7" s="49" t="s">
        <v>20</v>
      </c>
    </row>
    <row r="8" spans="1:9" x14ac:dyDescent="0.25">
      <c r="A8" s="48" t="s">
        <v>36</v>
      </c>
      <c r="B8" s="35">
        <v>0</v>
      </c>
      <c r="C8" s="65">
        <v>0</v>
      </c>
      <c r="D8" s="35">
        <v>0</v>
      </c>
      <c r="E8" s="65">
        <v>0</v>
      </c>
      <c r="F8" s="35">
        <v>0</v>
      </c>
      <c r="G8" s="65">
        <v>0</v>
      </c>
      <c r="H8" s="40">
        <f t="shared" ref="H8:I10" si="0">+B8+D8+F8</f>
        <v>0</v>
      </c>
      <c r="I8" s="70">
        <f t="shared" si="0"/>
        <v>0</v>
      </c>
    </row>
    <row r="9" spans="1:9" x14ac:dyDescent="0.25">
      <c r="A9" s="48" t="s">
        <v>37</v>
      </c>
      <c r="B9" s="35">
        <f>4+28+31</f>
        <v>63</v>
      </c>
      <c r="C9" s="65">
        <f>30992+216880.44+240467.76</f>
        <v>488340.2</v>
      </c>
      <c r="D9" s="35">
        <v>3</v>
      </c>
      <c r="E9" s="65">
        <v>224872.69</v>
      </c>
      <c r="F9" s="35">
        <f>2+12</f>
        <v>14</v>
      </c>
      <c r="G9" s="65">
        <f>12000+72000</f>
        <v>84000</v>
      </c>
      <c r="H9" s="40">
        <f t="shared" si="0"/>
        <v>80</v>
      </c>
      <c r="I9" s="70">
        <f t="shared" si="0"/>
        <v>797212.89</v>
      </c>
    </row>
    <row r="10" spans="1:9" x14ac:dyDescent="0.25">
      <c r="A10" s="48" t="s">
        <v>38</v>
      </c>
      <c r="B10" s="35">
        <v>1413</v>
      </c>
      <c r="C10" s="65">
        <v>11172621.32</v>
      </c>
      <c r="D10" s="35">
        <v>34</v>
      </c>
      <c r="E10" s="65">
        <v>278309.3</v>
      </c>
      <c r="F10" s="35">
        <v>1549</v>
      </c>
      <c r="G10" s="65">
        <v>9294000</v>
      </c>
      <c r="H10" s="40">
        <f t="shared" si="0"/>
        <v>2996</v>
      </c>
      <c r="I10" s="40">
        <f t="shared" si="0"/>
        <v>20744930.620000001</v>
      </c>
    </row>
    <row r="11" spans="1:9" x14ac:dyDescent="0.25">
      <c r="A11" s="30" t="s">
        <v>131</v>
      </c>
      <c r="B11" s="42">
        <f t="shared" ref="B11:I11" si="1">SUM(B8:B10)</f>
        <v>1476</v>
      </c>
      <c r="C11" s="42">
        <f t="shared" si="1"/>
        <v>11660961.52</v>
      </c>
      <c r="D11" s="42">
        <f t="shared" si="1"/>
        <v>37</v>
      </c>
      <c r="E11" s="42">
        <f t="shared" si="1"/>
        <v>503181.99</v>
      </c>
      <c r="F11" s="42">
        <f>SUM(F8:F10)</f>
        <v>1563</v>
      </c>
      <c r="G11" s="42">
        <f t="shared" ref="G11" si="2">SUM(G8:G10)</f>
        <v>9378000</v>
      </c>
      <c r="H11" s="42">
        <f>SUM(H8:H10)</f>
        <v>3076</v>
      </c>
      <c r="I11" s="42">
        <f t="shared" si="1"/>
        <v>21542143.510000002</v>
      </c>
    </row>
    <row r="12" spans="1:9" hidden="1" x14ac:dyDescent="0.25">
      <c r="A12" s="48" t="s">
        <v>36</v>
      </c>
      <c r="B12" s="35"/>
      <c r="C12" s="65"/>
      <c r="D12" s="35"/>
      <c r="E12" s="65"/>
      <c r="F12" s="35"/>
      <c r="G12" s="65"/>
      <c r="H12" s="40">
        <f t="shared" ref="H12:I14" si="3">+B12+D12+F12</f>
        <v>0</v>
      </c>
      <c r="I12" s="70">
        <f t="shared" si="3"/>
        <v>0</v>
      </c>
    </row>
    <row r="13" spans="1:9" hidden="1" x14ac:dyDescent="0.25">
      <c r="A13" s="48" t="s">
        <v>37</v>
      </c>
      <c r="B13" s="35"/>
      <c r="C13" s="65"/>
      <c r="D13" s="35"/>
      <c r="E13" s="65"/>
      <c r="F13" s="35"/>
      <c r="G13" s="65"/>
      <c r="H13" s="40">
        <f t="shared" si="3"/>
        <v>0</v>
      </c>
      <c r="I13" s="70">
        <f t="shared" si="3"/>
        <v>0</v>
      </c>
    </row>
    <row r="14" spans="1:9" hidden="1" x14ac:dyDescent="0.25">
      <c r="A14" s="48" t="s">
        <v>38</v>
      </c>
      <c r="B14" s="35"/>
      <c r="C14" s="65"/>
      <c r="D14" s="35"/>
      <c r="E14" s="65"/>
      <c r="F14" s="35"/>
      <c r="G14" s="65"/>
      <c r="H14" s="40">
        <f t="shared" si="3"/>
        <v>0</v>
      </c>
      <c r="I14" s="70">
        <f t="shared" si="3"/>
        <v>0</v>
      </c>
    </row>
    <row r="15" spans="1:9" hidden="1" x14ac:dyDescent="0.25">
      <c r="A15" s="30" t="s">
        <v>131</v>
      </c>
      <c r="B15" s="42">
        <f t="shared" ref="B15:I15" si="4">SUM(B12:B14)</f>
        <v>0</v>
      </c>
      <c r="C15" s="42">
        <f t="shared" si="4"/>
        <v>0</v>
      </c>
      <c r="D15" s="42">
        <f t="shared" si="4"/>
        <v>0</v>
      </c>
      <c r="E15" s="42">
        <f t="shared" si="4"/>
        <v>0</v>
      </c>
      <c r="F15" s="42">
        <f t="shared" ref="F15:G15" si="5">SUM(F12:F14)</f>
        <v>0</v>
      </c>
      <c r="G15" s="42">
        <f t="shared" si="5"/>
        <v>0</v>
      </c>
      <c r="H15" s="42">
        <f t="shared" si="4"/>
        <v>0</v>
      </c>
      <c r="I15" s="42">
        <f t="shared" si="4"/>
        <v>0</v>
      </c>
    </row>
    <row r="16" spans="1:9" hidden="1" x14ac:dyDescent="0.25">
      <c r="A16" s="48" t="s">
        <v>87</v>
      </c>
      <c r="B16" s="35"/>
      <c r="C16" s="65"/>
      <c r="D16" s="35"/>
      <c r="E16" s="65"/>
      <c r="F16" s="35"/>
      <c r="G16" s="65"/>
      <c r="H16" s="40">
        <f t="shared" ref="H16:I18" si="6">+B16+D16+F16</f>
        <v>0</v>
      </c>
      <c r="I16" s="70">
        <f t="shared" si="6"/>
        <v>0</v>
      </c>
    </row>
    <row r="17" spans="1:16" hidden="1" x14ac:dyDescent="0.25">
      <c r="A17" s="48" t="s">
        <v>88</v>
      </c>
      <c r="B17" s="35"/>
      <c r="C17" s="65"/>
      <c r="D17" s="35"/>
      <c r="E17" s="65"/>
      <c r="F17" s="35"/>
      <c r="G17" s="65"/>
      <c r="H17" s="40">
        <f t="shared" si="6"/>
        <v>0</v>
      </c>
      <c r="I17" s="70">
        <f t="shared" si="6"/>
        <v>0</v>
      </c>
    </row>
    <row r="18" spans="1:16" hidden="1" x14ac:dyDescent="0.25">
      <c r="A18" s="48" t="s">
        <v>89</v>
      </c>
      <c r="B18" s="35"/>
      <c r="C18" s="65"/>
      <c r="D18" s="35"/>
      <c r="E18" s="65"/>
      <c r="F18" s="35"/>
      <c r="G18" s="65"/>
      <c r="H18" s="40">
        <f t="shared" si="6"/>
        <v>0</v>
      </c>
      <c r="I18" s="70">
        <f t="shared" si="6"/>
        <v>0</v>
      </c>
    </row>
    <row r="19" spans="1:16" hidden="1" x14ac:dyDescent="0.25">
      <c r="A19" s="30" t="s">
        <v>94</v>
      </c>
      <c r="B19" s="42">
        <f t="shared" ref="B19:E19" si="7">SUM(B16:B18)</f>
        <v>0</v>
      </c>
      <c r="C19" s="42">
        <f t="shared" si="7"/>
        <v>0</v>
      </c>
      <c r="D19" s="42">
        <f t="shared" si="7"/>
        <v>0</v>
      </c>
      <c r="E19" s="42">
        <f t="shared" si="7"/>
        <v>0</v>
      </c>
      <c r="F19" s="42">
        <f t="shared" ref="F19:G19" si="8">SUM(F16:F18)</f>
        <v>0</v>
      </c>
      <c r="G19" s="42">
        <f t="shared" si="8"/>
        <v>0</v>
      </c>
      <c r="H19" s="42">
        <f>SUM(H16:H18)</f>
        <v>0</v>
      </c>
      <c r="I19" s="42">
        <f>SUM(I16:I18)</f>
        <v>0</v>
      </c>
    </row>
    <row r="20" spans="1:16" hidden="1" x14ac:dyDescent="0.25">
      <c r="A20" s="34" t="s">
        <v>90</v>
      </c>
      <c r="B20" s="35"/>
      <c r="C20" s="65"/>
      <c r="D20" s="35"/>
      <c r="E20" s="65"/>
      <c r="F20" s="35"/>
      <c r="G20" s="65"/>
      <c r="H20" s="40">
        <f t="shared" ref="H20:I22" si="9">+B20+D20+F20</f>
        <v>0</v>
      </c>
      <c r="I20" s="70">
        <f t="shared" si="9"/>
        <v>0</v>
      </c>
    </row>
    <row r="21" spans="1:16" hidden="1" x14ac:dyDescent="0.25">
      <c r="A21" s="34" t="s">
        <v>91</v>
      </c>
      <c r="B21" s="35"/>
      <c r="C21" s="65"/>
      <c r="D21" s="35"/>
      <c r="E21" s="65"/>
      <c r="F21" s="35"/>
      <c r="G21" s="65"/>
      <c r="H21" s="40">
        <f t="shared" si="9"/>
        <v>0</v>
      </c>
      <c r="I21" s="70">
        <f t="shared" si="9"/>
        <v>0</v>
      </c>
    </row>
    <row r="22" spans="1:16" hidden="1" x14ac:dyDescent="0.25">
      <c r="A22" s="34" t="s">
        <v>92</v>
      </c>
      <c r="B22" s="35"/>
      <c r="C22" s="65"/>
      <c r="D22" s="35"/>
      <c r="E22" s="65"/>
      <c r="F22" s="35"/>
      <c r="G22" s="65"/>
      <c r="H22" s="40">
        <f t="shared" si="9"/>
        <v>0</v>
      </c>
      <c r="I22" s="70">
        <f t="shared" si="9"/>
        <v>0</v>
      </c>
    </row>
    <row r="23" spans="1:16" hidden="1" x14ac:dyDescent="0.25">
      <c r="A23" s="12" t="s">
        <v>95</v>
      </c>
      <c r="B23" s="42">
        <f t="shared" ref="B23:I23" si="10">SUM(B20:B22)</f>
        <v>0</v>
      </c>
      <c r="C23" s="42">
        <f t="shared" si="10"/>
        <v>0</v>
      </c>
      <c r="D23" s="42">
        <f t="shared" si="10"/>
        <v>0</v>
      </c>
      <c r="E23" s="42">
        <f t="shared" si="10"/>
        <v>0</v>
      </c>
      <c r="F23" s="42">
        <f t="shared" ref="F23:G23" si="11">SUM(F20:F22)</f>
        <v>0</v>
      </c>
      <c r="G23" s="42">
        <f t="shared" si="11"/>
        <v>0</v>
      </c>
      <c r="H23" s="42">
        <f t="shared" si="10"/>
        <v>0</v>
      </c>
      <c r="I23" s="42">
        <f t="shared" si="10"/>
        <v>0</v>
      </c>
    </row>
    <row r="24" spans="1:16" hidden="1" x14ac:dyDescent="0.25">
      <c r="A24" s="66" t="s">
        <v>9</v>
      </c>
      <c r="B24" s="44">
        <f>+B11+B15+B19+B23</f>
        <v>1476</v>
      </c>
      <c r="C24" s="44">
        <f>+C11+C15+C19+C23</f>
        <v>11660961.52</v>
      </c>
      <c r="D24" s="44">
        <f t="shared" ref="D24:I24" si="12">+D11+D15+D19+D23</f>
        <v>37</v>
      </c>
      <c r="E24" s="44">
        <f t="shared" si="12"/>
        <v>503181.99</v>
      </c>
      <c r="F24" s="44">
        <f t="shared" si="12"/>
        <v>1563</v>
      </c>
      <c r="G24" s="44">
        <f t="shared" si="12"/>
        <v>9378000</v>
      </c>
      <c r="H24" s="44">
        <f>+H11+H15+H19+H23</f>
        <v>3076</v>
      </c>
      <c r="I24" s="44">
        <f t="shared" si="12"/>
        <v>21542143.510000002</v>
      </c>
    </row>
    <row r="25" spans="1:16" hidden="1" x14ac:dyDescent="0.25">
      <c r="A25" s="67" t="s">
        <v>170</v>
      </c>
    </row>
    <row r="26" spans="1:16" x14ac:dyDescent="0.25">
      <c r="A26" s="15" t="s">
        <v>176</v>
      </c>
      <c r="E26" s="39"/>
      <c r="G26" s="39"/>
    </row>
    <row r="32" spans="1:16" x14ac:dyDescent="0.25">
      <c r="M32" s="56">
        <v>32154</v>
      </c>
      <c r="N32" s="68" t="e">
        <f t="shared" ref="N32:N39" si="13">M32/$B$29*100</f>
        <v>#DIV/0!</v>
      </c>
      <c r="O32" s="57">
        <v>386810064.19999999</v>
      </c>
      <c r="P32" s="69" t="e">
        <f>O32/O40*100</f>
        <v>#DIV/0!</v>
      </c>
    </row>
    <row r="33" spans="13:16" x14ac:dyDescent="0.25">
      <c r="M33" s="56">
        <v>56199</v>
      </c>
      <c r="N33" s="68" t="e">
        <f t="shared" si="13"/>
        <v>#DIV/0!</v>
      </c>
      <c r="O33" s="57">
        <v>471111842.94</v>
      </c>
      <c r="P33" s="69" t="e">
        <f>O33/O40*100</f>
        <v>#DIV/0!</v>
      </c>
    </row>
    <row r="34" spans="13:16" x14ac:dyDescent="0.25">
      <c r="M34" s="56">
        <v>297</v>
      </c>
      <c r="N34" s="68" t="e">
        <f t="shared" si="13"/>
        <v>#DIV/0!</v>
      </c>
      <c r="O34" s="57">
        <v>5010228</v>
      </c>
      <c r="P34" s="69" t="e">
        <f>O34/O40*100</f>
        <v>#DIV/0!</v>
      </c>
    </row>
    <row r="35" spans="13:16" x14ac:dyDescent="0.25">
      <c r="M35" s="56">
        <v>163</v>
      </c>
      <c r="N35" s="68" t="e">
        <f t="shared" si="13"/>
        <v>#DIV/0!</v>
      </c>
      <c r="O35" s="57">
        <v>4392328.91</v>
      </c>
      <c r="P35" s="69" t="e">
        <f>O35/O40*100</f>
        <v>#DIV/0!</v>
      </c>
    </row>
    <row r="36" spans="13:16" x14ac:dyDescent="0.25">
      <c r="M36" s="56">
        <v>366</v>
      </c>
      <c r="N36" s="68" t="e">
        <f t="shared" si="13"/>
        <v>#DIV/0!</v>
      </c>
      <c r="O36" s="57">
        <v>9034522.6500000004</v>
      </c>
      <c r="P36" s="69" t="e">
        <f>O36/O40*100</f>
        <v>#DIV/0!</v>
      </c>
    </row>
    <row r="37" spans="13:16" x14ac:dyDescent="0.25">
      <c r="M37" s="56">
        <v>17249</v>
      </c>
      <c r="N37" s="68" t="e">
        <f t="shared" si="13"/>
        <v>#DIV/0!</v>
      </c>
      <c r="O37" s="57">
        <v>405400068.69</v>
      </c>
      <c r="P37" s="69" t="e">
        <f>O37/O40*100</f>
        <v>#DIV/0!</v>
      </c>
    </row>
    <row r="38" spans="13:16" x14ac:dyDescent="0.25">
      <c r="M38" s="56">
        <v>18745</v>
      </c>
      <c r="N38" s="68" t="e">
        <f t="shared" si="13"/>
        <v>#DIV/0!</v>
      </c>
      <c r="O38" s="57">
        <v>369724631.60000002</v>
      </c>
      <c r="P38" s="69" t="e">
        <f>O38/O40*100</f>
        <v>#DIV/0!</v>
      </c>
    </row>
    <row r="39" spans="13:16" x14ac:dyDescent="0.25">
      <c r="M39" s="56">
        <v>15130</v>
      </c>
      <c r="N39" s="68" t="e">
        <f t="shared" si="13"/>
        <v>#DIV/0!</v>
      </c>
      <c r="O39" s="57">
        <v>151015428.50999999</v>
      </c>
      <c r="P39" s="69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P39"/>
  <sheetViews>
    <sheetView showGridLines="0" workbookViewId="0">
      <selection activeCell="B27" sqref="B27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5703125" style="1" customWidth="1"/>
    <col min="5" max="5" width="17.85546875" style="1" bestFit="1" customWidth="1"/>
    <col min="6" max="6" width="12.5703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242" t="s">
        <v>6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5">
      <c r="A2" s="242" t="s">
        <v>122</v>
      </c>
      <c r="B2" s="242"/>
      <c r="C2" s="242"/>
      <c r="D2" s="242"/>
      <c r="E2" s="242"/>
      <c r="F2" s="242"/>
      <c r="G2" s="242"/>
      <c r="H2" s="242"/>
      <c r="I2" s="242"/>
    </row>
    <row r="3" spans="1:9" x14ac:dyDescent="0.25">
      <c r="A3" s="242" t="s">
        <v>171</v>
      </c>
      <c r="B3" s="242"/>
      <c r="C3" s="242"/>
      <c r="D3" s="242"/>
      <c r="E3" s="242"/>
      <c r="F3" s="242"/>
      <c r="G3" s="242"/>
      <c r="H3" s="242"/>
      <c r="I3" s="242"/>
    </row>
    <row r="4" spans="1:9" x14ac:dyDescent="0.25">
      <c r="A4" s="242" t="s">
        <v>167</v>
      </c>
      <c r="B4" s="242"/>
      <c r="C4" s="242"/>
      <c r="D4" s="242"/>
      <c r="E4" s="242"/>
      <c r="F4" s="242"/>
      <c r="G4" s="242"/>
      <c r="H4" s="242"/>
      <c r="I4" s="242"/>
    </row>
    <row r="5" spans="1:9" x14ac:dyDescent="0.25">
      <c r="A5" s="243" t="s">
        <v>166</v>
      </c>
      <c r="B5" s="243"/>
      <c r="C5" s="243"/>
      <c r="D5" s="243"/>
      <c r="E5" s="243"/>
      <c r="F5" s="243"/>
      <c r="G5" s="243"/>
      <c r="H5" s="243"/>
      <c r="I5" s="243"/>
    </row>
    <row r="6" spans="1:9" x14ac:dyDescent="0.25">
      <c r="A6" s="101"/>
      <c r="B6" s="273" t="s">
        <v>15</v>
      </c>
      <c r="C6" s="273"/>
      <c r="D6" s="272" t="s">
        <v>16</v>
      </c>
      <c r="E6" s="272"/>
      <c r="F6" s="274" t="s">
        <v>141</v>
      </c>
      <c r="G6" s="274"/>
      <c r="H6" s="276" t="s">
        <v>17</v>
      </c>
      <c r="I6" s="276"/>
    </row>
    <row r="7" spans="1:9" ht="34.5" customHeight="1" x14ac:dyDescent="0.25">
      <c r="A7" s="102" t="s">
        <v>1</v>
      </c>
      <c r="B7" s="49" t="s">
        <v>172</v>
      </c>
      <c r="C7" s="49" t="s">
        <v>20</v>
      </c>
      <c r="D7" s="49" t="s">
        <v>172</v>
      </c>
      <c r="E7" s="49" t="s">
        <v>20</v>
      </c>
      <c r="F7" s="49" t="s">
        <v>172</v>
      </c>
      <c r="G7" s="49" t="s">
        <v>20</v>
      </c>
      <c r="H7" s="49" t="s">
        <v>172</v>
      </c>
      <c r="I7" s="49" t="s">
        <v>20</v>
      </c>
    </row>
    <row r="8" spans="1:9" x14ac:dyDescent="0.25">
      <c r="A8" s="48" t="s">
        <v>36</v>
      </c>
      <c r="B8" s="35">
        <v>0</v>
      </c>
      <c r="C8" s="65">
        <v>0</v>
      </c>
      <c r="D8" s="35">
        <v>0</v>
      </c>
      <c r="E8" s="65">
        <v>0</v>
      </c>
      <c r="F8" s="35">
        <v>0</v>
      </c>
      <c r="G8" s="65">
        <v>0</v>
      </c>
      <c r="H8" s="40">
        <f t="shared" ref="H8:I10" si="0">+B8+D8+F8</f>
        <v>0</v>
      </c>
      <c r="I8" s="70">
        <f t="shared" si="0"/>
        <v>0</v>
      </c>
    </row>
    <row r="9" spans="1:9" x14ac:dyDescent="0.25">
      <c r="A9" s="48" t="s">
        <v>37</v>
      </c>
      <c r="B9" s="35">
        <v>36</v>
      </c>
      <c r="C9" s="65">
        <v>386001.61</v>
      </c>
      <c r="D9" s="35">
        <v>2</v>
      </c>
      <c r="E9" s="65">
        <v>16030.61</v>
      </c>
      <c r="F9" s="35">
        <v>2</v>
      </c>
      <c r="G9" s="65">
        <v>12000</v>
      </c>
      <c r="H9" s="40">
        <f t="shared" si="0"/>
        <v>40</v>
      </c>
      <c r="I9" s="70">
        <f t="shared" si="0"/>
        <v>414032.22</v>
      </c>
    </row>
    <row r="10" spans="1:9" x14ac:dyDescent="0.25">
      <c r="A10" s="48" t="s">
        <v>38</v>
      </c>
      <c r="B10" s="35">
        <v>131</v>
      </c>
      <c r="C10" s="65">
        <v>1444844.33</v>
      </c>
      <c r="D10" s="35">
        <v>5</v>
      </c>
      <c r="E10" s="65">
        <v>110598.45</v>
      </c>
      <c r="F10" s="35">
        <v>6</v>
      </c>
      <c r="G10" s="65">
        <v>36000</v>
      </c>
      <c r="H10" s="40">
        <f t="shared" si="0"/>
        <v>142</v>
      </c>
      <c r="I10" s="40">
        <f t="shared" si="0"/>
        <v>1591442.78</v>
      </c>
    </row>
    <row r="11" spans="1:9" x14ac:dyDescent="0.25">
      <c r="A11" s="30" t="s">
        <v>131</v>
      </c>
      <c r="B11" s="42">
        <f t="shared" ref="B11:I11" si="1">SUM(B8:B10)</f>
        <v>167</v>
      </c>
      <c r="C11" s="42">
        <f t="shared" si="1"/>
        <v>1830845.94</v>
      </c>
      <c r="D11" s="42">
        <f t="shared" si="1"/>
        <v>7</v>
      </c>
      <c r="E11" s="42">
        <f t="shared" si="1"/>
        <v>126629.06</v>
      </c>
      <c r="F11" s="42">
        <f>SUM(F8:F10)</f>
        <v>8</v>
      </c>
      <c r="G11" s="42">
        <f t="shared" ref="G11" si="2">SUM(G8:G10)</f>
        <v>48000</v>
      </c>
      <c r="H11" s="42">
        <f t="shared" si="1"/>
        <v>182</v>
      </c>
      <c r="I11" s="42">
        <f t="shared" si="1"/>
        <v>2005475</v>
      </c>
    </row>
    <row r="12" spans="1:9" hidden="1" x14ac:dyDescent="0.25">
      <c r="A12" s="48" t="s">
        <v>36</v>
      </c>
      <c r="B12" s="35">
        <v>52</v>
      </c>
      <c r="C12" s="65">
        <v>621254.41</v>
      </c>
      <c r="D12" s="35">
        <v>2</v>
      </c>
      <c r="E12" s="65">
        <v>15128.119999999999</v>
      </c>
      <c r="F12" s="35"/>
      <c r="G12" s="65"/>
      <c r="H12" s="40">
        <f t="shared" ref="H12:I14" si="3">+B12+D12+F12</f>
        <v>54</v>
      </c>
      <c r="I12" s="70">
        <f t="shared" si="3"/>
        <v>636382.53</v>
      </c>
    </row>
    <row r="13" spans="1:9" hidden="1" x14ac:dyDescent="0.25">
      <c r="A13" s="48" t="s">
        <v>37</v>
      </c>
      <c r="B13" s="35"/>
      <c r="C13" s="65"/>
      <c r="D13" s="35"/>
      <c r="E13" s="65"/>
      <c r="F13" s="35"/>
      <c r="G13" s="65"/>
      <c r="H13" s="40">
        <f t="shared" si="3"/>
        <v>0</v>
      </c>
      <c r="I13" s="70">
        <f t="shared" si="3"/>
        <v>0</v>
      </c>
    </row>
    <row r="14" spans="1:9" hidden="1" x14ac:dyDescent="0.25">
      <c r="A14" s="48" t="s">
        <v>38</v>
      </c>
      <c r="B14" s="35"/>
      <c r="C14" s="65"/>
      <c r="D14" s="35"/>
      <c r="E14" s="65"/>
      <c r="F14" s="35"/>
      <c r="G14" s="65"/>
      <c r="H14" s="40">
        <f t="shared" si="3"/>
        <v>0</v>
      </c>
      <c r="I14" s="70">
        <f t="shared" si="3"/>
        <v>0</v>
      </c>
    </row>
    <row r="15" spans="1:9" hidden="1" x14ac:dyDescent="0.25">
      <c r="A15" s="30" t="s">
        <v>131</v>
      </c>
      <c r="B15" s="42">
        <f t="shared" ref="B15:I15" si="4">SUM(B12:B14)</f>
        <v>52</v>
      </c>
      <c r="C15" s="42">
        <f t="shared" si="4"/>
        <v>621254.41</v>
      </c>
      <c r="D15" s="42">
        <f t="shared" si="4"/>
        <v>2</v>
      </c>
      <c r="E15" s="42">
        <f t="shared" si="4"/>
        <v>15128.119999999999</v>
      </c>
      <c r="F15" s="42">
        <f t="shared" ref="F15:G15" si="5">SUM(F12:F14)</f>
        <v>0</v>
      </c>
      <c r="G15" s="42">
        <f t="shared" si="5"/>
        <v>0</v>
      </c>
      <c r="H15" s="42">
        <f t="shared" si="4"/>
        <v>54</v>
      </c>
      <c r="I15" s="42">
        <f t="shared" si="4"/>
        <v>636382.53</v>
      </c>
    </row>
    <row r="16" spans="1:9" hidden="1" x14ac:dyDescent="0.25">
      <c r="A16" s="48" t="s">
        <v>87</v>
      </c>
      <c r="B16" s="35"/>
      <c r="C16" s="65"/>
      <c r="D16" s="35"/>
      <c r="E16" s="65"/>
      <c r="F16" s="35"/>
      <c r="G16" s="65"/>
      <c r="H16" s="40">
        <f t="shared" ref="H16:I18" si="6">+B16+D16+F16</f>
        <v>0</v>
      </c>
      <c r="I16" s="70">
        <f t="shared" si="6"/>
        <v>0</v>
      </c>
    </row>
    <row r="17" spans="1:16" hidden="1" x14ac:dyDescent="0.25">
      <c r="A17" s="48" t="s">
        <v>88</v>
      </c>
      <c r="B17" s="35"/>
      <c r="C17" s="65"/>
      <c r="D17" s="35"/>
      <c r="E17" s="65"/>
      <c r="F17" s="35"/>
      <c r="G17" s="65"/>
      <c r="H17" s="40">
        <f t="shared" si="6"/>
        <v>0</v>
      </c>
      <c r="I17" s="70">
        <f t="shared" si="6"/>
        <v>0</v>
      </c>
    </row>
    <row r="18" spans="1:16" hidden="1" x14ac:dyDescent="0.25">
      <c r="A18" s="48" t="s">
        <v>89</v>
      </c>
      <c r="B18" s="35"/>
      <c r="C18" s="65"/>
      <c r="D18" s="35"/>
      <c r="E18" s="65"/>
      <c r="F18" s="35"/>
      <c r="G18" s="65"/>
      <c r="H18" s="40">
        <f t="shared" si="6"/>
        <v>0</v>
      </c>
      <c r="I18" s="70">
        <f t="shared" si="6"/>
        <v>0</v>
      </c>
    </row>
    <row r="19" spans="1:16" hidden="1" x14ac:dyDescent="0.25">
      <c r="A19" s="30" t="s">
        <v>94</v>
      </c>
      <c r="B19" s="42">
        <f t="shared" ref="B19:E19" si="7">SUM(B16:B18)</f>
        <v>0</v>
      </c>
      <c r="C19" s="42">
        <f t="shared" si="7"/>
        <v>0</v>
      </c>
      <c r="D19" s="42">
        <f t="shared" si="7"/>
        <v>0</v>
      </c>
      <c r="E19" s="42">
        <f t="shared" si="7"/>
        <v>0</v>
      </c>
      <c r="F19" s="42">
        <f t="shared" ref="F19:G19" si="8">SUM(F16:F18)</f>
        <v>0</v>
      </c>
      <c r="G19" s="42">
        <f t="shared" si="8"/>
        <v>0</v>
      </c>
      <c r="H19" s="42">
        <f>SUM(H16:H18)</f>
        <v>0</v>
      </c>
      <c r="I19" s="42">
        <f>SUM(I16:I18)</f>
        <v>0</v>
      </c>
    </row>
    <row r="20" spans="1:16" hidden="1" x14ac:dyDescent="0.25">
      <c r="A20" s="34" t="s">
        <v>90</v>
      </c>
      <c r="B20" s="35"/>
      <c r="C20" s="65"/>
      <c r="D20" s="35"/>
      <c r="E20" s="65"/>
      <c r="F20" s="35"/>
      <c r="G20" s="65"/>
      <c r="H20" s="40">
        <f t="shared" ref="H20:I22" si="9">+B20+D20+F20</f>
        <v>0</v>
      </c>
      <c r="I20" s="70">
        <f t="shared" si="9"/>
        <v>0</v>
      </c>
    </row>
    <row r="21" spans="1:16" hidden="1" x14ac:dyDescent="0.25">
      <c r="A21" s="34" t="s">
        <v>91</v>
      </c>
      <c r="B21" s="35"/>
      <c r="C21" s="65"/>
      <c r="D21" s="35"/>
      <c r="E21" s="65"/>
      <c r="F21" s="35"/>
      <c r="G21" s="65"/>
      <c r="H21" s="40">
        <f t="shared" si="9"/>
        <v>0</v>
      </c>
      <c r="I21" s="70">
        <f t="shared" si="9"/>
        <v>0</v>
      </c>
    </row>
    <row r="22" spans="1:16" hidden="1" x14ac:dyDescent="0.25">
      <c r="A22" s="34" t="s">
        <v>92</v>
      </c>
      <c r="B22" s="35"/>
      <c r="C22" s="65"/>
      <c r="D22" s="35"/>
      <c r="E22" s="65"/>
      <c r="F22" s="35"/>
      <c r="G22" s="65"/>
      <c r="H22" s="40">
        <f t="shared" si="9"/>
        <v>0</v>
      </c>
      <c r="I22" s="70">
        <f t="shared" si="9"/>
        <v>0</v>
      </c>
    </row>
    <row r="23" spans="1:16" hidden="1" x14ac:dyDescent="0.25">
      <c r="A23" s="12" t="s">
        <v>95</v>
      </c>
      <c r="B23" s="42">
        <f t="shared" ref="B23:I23" si="10">SUM(B20:B22)</f>
        <v>0</v>
      </c>
      <c r="C23" s="42">
        <f t="shared" si="10"/>
        <v>0</v>
      </c>
      <c r="D23" s="42">
        <f t="shared" si="10"/>
        <v>0</v>
      </c>
      <c r="E23" s="42">
        <f t="shared" si="10"/>
        <v>0</v>
      </c>
      <c r="F23" s="42">
        <f t="shared" ref="F23:G23" si="11">SUM(F20:F22)</f>
        <v>0</v>
      </c>
      <c r="G23" s="42">
        <f t="shared" si="11"/>
        <v>0</v>
      </c>
      <c r="H23" s="42">
        <f t="shared" si="10"/>
        <v>0</v>
      </c>
      <c r="I23" s="42">
        <f t="shared" si="10"/>
        <v>0</v>
      </c>
    </row>
    <row r="24" spans="1:16" hidden="1" x14ac:dyDescent="0.25">
      <c r="A24" s="66" t="s">
        <v>9</v>
      </c>
      <c r="B24" s="44">
        <f>+B11+B15+B19+B23</f>
        <v>219</v>
      </c>
      <c r="C24" s="44">
        <f>+C11+C15+C19+C23</f>
        <v>2452100.35</v>
      </c>
      <c r="D24" s="44">
        <f t="shared" ref="D24:I24" si="12">+D11+D15+D19+D23</f>
        <v>9</v>
      </c>
      <c r="E24" s="44">
        <f t="shared" si="12"/>
        <v>141757.18</v>
      </c>
      <c r="F24" s="44">
        <f t="shared" si="12"/>
        <v>8</v>
      </c>
      <c r="G24" s="44">
        <f t="shared" si="12"/>
        <v>48000</v>
      </c>
      <c r="H24" s="44">
        <f>+H11+H15+H19+H23</f>
        <v>236</v>
      </c>
      <c r="I24" s="44">
        <f t="shared" si="12"/>
        <v>2641857.5300000003</v>
      </c>
    </row>
    <row r="25" spans="1:16" x14ac:dyDescent="0.25">
      <c r="A25" s="15" t="s">
        <v>176</v>
      </c>
    </row>
    <row r="26" spans="1:16" x14ac:dyDescent="0.25">
      <c r="E26" s="39"/>
      <c r="G26" s="39"/>
    </row>
    <row r="32" spans="1:16" x14ac:dyDescent="0.25">
      <c r="M32" s="56">
        <v>32154</v>
      </c>
      <c r="N32" s="68" t="e">
        <f t="shared" ref="N32:N39" si="13">M32/$B$29*100</f>
        <v>#DIV/0!</v>
      </c>
      <c r="O32" s="57">
        <v>386810064.19999999</v>
      </c>
      <c r="P32" s="69" t="e">
        <f>O32/O40*100</f>
        <v>#DIV/0!</v>
      </c>
    </row>
    <row r="33" spans="13:16" x14ac:dyDescent="0.25">
      <c r="M33" s="56">
        <v>56199</v>
      </c>
      <c r="N33" s="68" t="e">
        <f t="shared" si="13"/>
        <v>#DIV/0!</v>
      </c>
      <c r="O33" s="57">
        <v>471111842.94</v>
      </c>
      <c r="P33" s="69" t="e">
        <f>O33/O40*100</f>
        <v>#DIV/0!</v>
      </c>
    </row>
    <row r="34" spans="13:16" x14ac:dyDescent="0.25">
      <c r="M34" s="56">
        <v>297</v>
      </c>
      <c r="N34" s="68" t="e">
        <f t="shared" si="13"/>
        <v>#DIV/0!</v>
      </c>
      <c r="O34" s="57">
        <v>5010228</v>
      </c>
      <c r="P34" s="69" t="e">
        <f>O34/O40*100</f>
        <v>#DIV/0!</v>
      </c>
    </row>
    <row r="35" spans="13:16" x14ac:dyDescent="0.25">
      <c r="M35" s="56">
        <v>163</v>
      </c>
      <c r="N35" s="68" t="e">
        <f t="shared" si="13"/>
        <v>#DIV/0!</v>
      </c>
      <c r="O35" s="57">
        <v>4392328.91</v>
      </c>
      <c r="P35" s="69" t="e">
        <f>O35/O40*100</f>
        <v>#DIV/0!</v>
      </c>
    </row>
    <row r="36" spans="13:16" x14ac:dyDescent="0.25">
      <c r="M36" s="56">
        <v>366</v>
      </c>
      <c r="N36" s="68" t="e">
        <f t="shared" si="13"/>
        <v>#DIV/0!</v>
      </c>
      <c r="O36" s="57">
        <v>9034522.6500000004</v>
      </c>
      <c r="P36" s="69" t="e">
        <f>O36/O40*100</f>
        <v>#DIV/0!</v>
      </c>
    </row>
    <row r="37" spans="13:16" x14ac:dyDescent="0.25">
      <c r="M37" s="56">
        <v>17249</v>
      </c>
      <c r="N37" s="68" t="e">
        <f t="shared" si="13"/>
        <v>#DIV/0!</v>
      </c>
      <c r="O37" s="57">
        <v>405400068.69</v>
      </c>
      <c r="P37" s="69" t="e">
        <f>O37/O40*100</f>
        <v>#DIV/0!</v>
      </c>
    </row>
    <row r="38" spans="13:16" x14ac:dyDescent="0.25">
      <c r="M38" s="56">
        <v>18745</v>
      </c>
      <c r="N38" s="68" t="e">
        <f t="shared" si="13"/>
        <v>#DIV/0!</v>
      </c>
      <c r="O38" s="57">
        <v>369724631.60000002</v>
      </c>
      <c r="P38" s="69" t="e">
        <f>O38/O40*100</f>
        <v>#DIV/0!</v>
      </c>
    </row>
    <row r="39" spans="13:16" x14ac:dyDescent="0.25">
      <c r="M39" s="56">
        <v>15130</v>
      </c>
      <c r="N39" s="68" t="e">
        <f t="shared" si="13"/>
        <v>#DIV/0!</v>
      </c>
      <c r="O39" s="57">
        <v>151015428.50999999</v>
      </c>
      <c r="P39" s="69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J61"/>
  <sheetViews>
    <sheetView showGridLines="0" topLeftCell="A52" zoomScale="115" zoomScaleNormal="115" workbookViewId="0">
      <selection activeCell="B8" sqref="B8"/>
    </sheetView>
  </sheetViews>
  <sheetFormatPr baseColWidth="10" defaultColWidth="9.140625" defaultRowHeight="15" x14ac:dyDescent="0.25"/>
  <cols>
    <col min="1" max="7" width="13.140625" style="1" customWidth="1"/>
    <col min="8" max="16384" width="9.140625" style="1"/>
  </cols>
  <sheetData>
    <row r="1" spans="1:10" x14ac:dyDescent="0.25">
      <c r="A1" s="242" t="s">
        <v>0</v>
      </c>
      <c r="B1" s="242"/>
      <c r="C1" s="242"/>
      <c r="D1" s="242"/>
      <c r="E1" s="242"/>
      <c r="F1" s="242"/>
      <c r="G1" s="242"/>
      <c r="H1" s="23"/>
      <c r="I1" s="23"/>
      <c r="J1" s="23"/>
    </row>
    <row r="2" spans="1:10" x14ac:dyDescent="0.25">
      <c r="A2" s="242" t="s">
        <v>122</v>
      </c>
      <c r="B2" s="242"/>
      <c r="C2" s="242"/>
      <c r="D2" s="242"/>
      <c r="E2" s="242"/>
      <c r="F2" s="242"/>
      <c r="G2" s="242"/>
      <c r="H2" s="23"/>
      <c r="I2" s="23"/>
      <c r="J2" s="23"/>
    </row>
    <row r="3" spans="1:10" x14ac:dyDescent="0.25">
      <c r="A3" s="242" t="s">
        <v>164</v>
      </c>
      <c r="B3" s="242"/>
      <c r="C3" s="242"/>
      <c r="D3" s="242"/>
      <c r="E3" s="242"/>
      <c r="F3" s="242"/>
      <c r="G3" s="242"/>
      <c r="H3" s="23"/>
      <c r="I3" s="23"/>
      <c r="J3" s="23"/>
    </row>
    <row r="4" spans="1:10" x14ac:dyDescent="0.25">
      <c r="A4" s="242" t="s">
        <v>225</v>
      </c>
      <c r="B4" s="242"/>
      <c r="C4" s="242"/>
      <c r="D4" s="242"/>
      <c r="E4" s="242"/>
      <c r="F4" s="242"/>
      <c r="G4" s="242"/>
      <c r="H4" s="23"/>
      <c r="I4" s="23"/>
      <c r="J4" s="23"/>
    </row>
    <row r="5" spans="1:10" x14ac:dyDescent="0.25">
      <c r="A5" s="243" t="s">
        <v>166</v>
      </c>
      <c r="B5" s="243"/>
      <c r="C5" s="243"/>
      <c r="D5" s="243"/>
      <c r="E5" s="243"/>
      <c r="F5" s="243"/>
      <c r="G5" s="243"/>
      <c r="H5" s="24"/>
      <c r="I5" s="24"/>
      <c r="J5" s="24"/>
    </row>
    <row r="6" spans="1:10" ht="51" x14ac:dyDescent="0.25">
      <c r="A6" s="102" t="s">
        <v>1</v>
      </c>
      <c r="B6" s="49" t="s">
        <v>52</v>
      </c>
      <c r="C6" s="49" t="s">
        <v>53</v>
      </c>
      <c r="D6" s="49" t="s">
        <v>54</v>
      </c>
      <c r="E6" s="49" t="s">
        <v>55</v>
      </c>
      <c r="F6" s="49" t="s">
        <v>56</v>
      </c>
      <c r="G6" s="225" t="s">
        <v>32</v>
      </c>
      <c r="H6" s="153"/>
    </row>
    <row r="7" spans="1:10" x14ac:dyDescent="0.25">
      <c r="A7" s="75" t="s">
        <v>89</v>
      </c>
      <c r="B7" s="229">
        <v>103</v>
      </c>
      <c r="C7" s="227">
        <v>5411082.3700000001</v>
      </c>
      <c r="D7" s="186">
        <v>0</v>
      </c>
      <c r="E7" s="186">
        <v>0</v>
      </c>
      <c r="F7" s="73">
        <v>0</v>
      </c>
      <c r="G7" s="72">
        <f t="shared" ref="G7" si="0">F7/C7</f>
        <v>0</v>
      </c>
      <c r="H7" s="153"/>
    </row>
    <row r="8" spans="1:10" x14ac:dyDescent="0.25">
      <c r="A8" s="75" t="s">
        <v>88</v>
      </c>
      <c r="B8" s="226">
        <v>64</v>
      </c>
      <c r="C8" s="227">
        <v>3473837.04</v>
      </c>
      <c r="D8" s="228">
        <v>678748.74</v>
      </c>
      <c r="E8" s="228">
        <v>616176.94999999995</v>
      </c>
      <c r="F8" s="73">
        <f>E8+D8</f>
        <v>1294925.69</v>
      </c>
      <c r="G8" s="72">
        <f>F8/C8</f>
        <v>0.37276523771535347</v>
      </c>
      <c r="H8" s="153"/>
    </row>
    <row r="9" spans="1:10" x14ac:dyDescent="0.25">
      <c r="A9" s="75" t="s">
        <v>87</v>
      </c>
      <c r="B9" s="226">
        <v>163</v>
      </c>
      <c r="C9" s="227">
        <v>6802181.9199999999</v>
      </c>
      <c r="D9" s="228">
        <v>291511.27</v>
      </c>
      <c r="E9" s="228">
        <v>413840.89</v>
      </c>
      <c r="F9" s="73">
        <f>E9+D9</f>
        <v>705352.16</v>
      </c>
      <c r="G9" s="72">
        <f>F9/C9</f>
        <v>0.10369498615232567</v>
      </c>
      <c r="H9" s="153"/>
    </row>
    <row r="10" spans="1:10" x14ac:dyDescent="0.25">
      <c r="A10" s="30" t="s">
        <v>94</v>
      </c>
      <c r="B10" s="8">
        <f>SUM(B7:B9)</f>
        <v>330</v>
      </c>
      <c r="C10" s="150">
        <f>SUM(C7:C9)</f>
        <v>15687101.33</v>
      </c>
      <c r="D10" s="8">
        <f>SUM(D7:D9)</f>
        <v>970260.01</v>
      </c>
      <c r="E10" s="8">
        <f>SUM(E7:E9)</f>
        <v>1030017.84</v>
      </c>
      <c r="F10" s="94">
        <f>SUM(F7:F9)</f>
        <v>2000277.85</v>
      </c>
      <c r="G10" s="16">
        <f t="shared" ref="G10:G23" si="1">F10/C10</f>
        <v>0.12751099186021514</v>
      </c>
      <c r="H10" s="153"/>
    </row>
    <row r="11" spans="1:10" hidden="1" x14ac:dyDescent="0.25">
      <c r="A11" s="75" t="s">
        <v>36</v>
      </c>
      <c r="B11" s="226"/>
      <c r="C11" s="228"/>
      <c r="D11" s="228"/>
      <c r="E11" s="228"/>
      <c r="F11" s="71">
        <f>E11+D11</f>
        <v>0</v>
      </c>
      <c r="G11" s="72" t="e">
        <f t="shared" si="1"/>
        <v>#DIV/0!</v>
      </c>
      <c r="H11" s="153"/>
    </row>
    <row r="12" spans="1:10" hidden="1" x14ac:dyDescent="0.25">
      <c r="A12" s="75" t="s">
        <v>37</v>
      </c>
      <c r="B12" s="226"/>
      <c r="C12" s="228"/>
      <c r="D12" s="228"/>
      <c r="E12" s="228"/>
      <c r="F12" s="71">
        <f>E12+D12</f>
        <v>0</v>
      </c>
      <c r="G12" s="72" t="e">
        <f t="shared" si="1"/>
        <v>#DIV/0!</v>
      </c>
      <c r="H12" s="153"/>
    </row>
    <row r="13" spans="1:10" hidden="1" x14ac:dyDescent="0.25">
      <c r="A13" s="75" t="s">
        <v>38</v>
      </c>
      <c r="B13" s="226"/>
      <c r="C13" s="228"/>
      <c r="D13" s="186"/>
      <c r="E13" s="186"/>
      <c r="F13" s="73">
        <f>E13+D13</f>
        <v>0</v>
      </c>
      <c r="G13" s="72" t="e">
        <f t="shared" si="1"/>
        <v>#DIV/0!</v>
      </c>
      <c r="H13" s="153"/>
    </row>
    <row r="14" spans="1:10" hidden="1" x14ac:dyDescent="0.25">
      <c r="A14" s="30" t="s">
        <v>131</v>
      </c>
      <c r="B14" s="8">
        <f>SUM(B11:B13)</f>
        <v>0</v>
      </c>
      <c r="C14" s="74">
        <f>SUM(C11:C13)</f>
        <v>0</v>
      </c>
      <c r="D14" s="74">
        <f>SUM(D11:D13)</f>
        <v>0</v>
      </c>
      <c r="E14" s="74">
        <f>SUM(E11:E13)</f>
        <v>0</v>
      </c>
      <c r="F14" s="74">
        <f>SUM(F11:F13)</f>
        <v>0</v>
      </c>
      <c r="G14" s="16" t="e">
        <f t="shared" si="1"/>
        <v>#DIV/0!</v>
      </c>
      <c r="H14" s="153"/>
    </row>
    <row r="15" spans="1:10" hidden="1" x14ac:dyDescent="0.25">
      <c r="A15" s="75" t="s">
        <v>87</v>
      </c>
      <c r="B15" s="226"/>
      <c r="C15" s="228"/>
      <c r="D15" s="228"/>
      <c r="E15" s="228"/>
      <c r="F15" s="71">
        <f>E15+D15</f>
        <v>0</v>
      </c>
      <c r="G15" s="72" t="e">
        <f t="shared" si="1"/>
        <v>#DIV/0!</v>
      </c>
      <c r="H15" s="153"/>
    </row>
    <row r="16" spans="1:10" hidden="1" x14ac:dyDescent="0.25">
      <c r="A16" s="75" t="s">
        <v>88</v>
      </c>
      <c r="B16" s="226"/>
      <c r="C16" s="228"/>
      <c r="D16" s="228"/>
      <c r="E16" s="228"/>
      <c r="F16" s="71">
        <f>E16+D16</f>
        <v>0</v>
      </c>
      <c r="G16" s="72" t="e">
        <f t="shared" si="1"/>
        <v>#DIV/0!</v>
      </c>
      <c r="H16" s="153"/>
    </row>
    <row r="17" spans="1:8" hidden="1" x14ac:dyDescent="0.25">
      <c r="A17" s="75" t="s">
        <v>89</v>
      </c>
      <c r="B17" s="226"/>
      <c r="C17" s="228"/>
      <c r="D17" s="186"/>
      <c r="E17" s="186"/>
      <c r="F17" s="73">
        <f>E17+D17</f>
        <v>0</v>
      </c>
      <c r="G17" s="72" t="e">
        <f t="shared" si="1"/>
        <v>#DIV/0!</v>
      </c>
      <c r="H17" s="153"/>
    </row>
    <row r="18" spans="1:8" hidden="1" x14ac:dyDescent="0.25">
      <c r="A18" s="30" t="s">
        <v>94</v>
      </c>
      <c r="B18" s="8">
        <f>SUM(B15:B17)</f>
        <v>0</v>
      </c>
      <c r="C18" s="74">
        <f>SUM(C15:C17)</f>
        <v>0</v>
      </c>
      <c r="D18" s="74">
        <f>SUM(D15:D17)</f>
        <v>0</v>
      </c>
      <c r="E18" s="74">
        <f>SUM(E15:E17)</f>
        <v>0</v>
      </c>
      <c r="F18" s="74">
        <f>SUM(F15:F17)</f>
        <v>0</v>
      </c>
      <c r="G18" s="16" t="e">
        <f t="shared" si="1"/>
        <v>#DIV/0!</v>
      </c>
      <c r="H18" s="153"/>
    </row>
    <row r="19" spans="1:8" hidden="1" x14ac:dyDescent="0.25">
      <c r="A19" s="75" t="s">
        <v>90</v>
      </c>
      <c r="B19" s="226"/>
      <c r="C19" s="228"/>
      <c r="D19" s="228"/>
      <c r="E19" s="228"/>
      <c r="F19" s="71">
        <f>E19+D19</f>
        <v>0</v>
      </c>
      <c r="G19" s="72" t="e">
        <f t="shared" si="1"/>
        <v>#DIV/0!</v>
      </c>
      <c r="H19" s="153"/>
    </row>
    <row r="20" spans="1:8" hidden="1" x14ac:dyDescent="0.25">
      <c r="A20" s="75" t="s">
        <v>91</v>
      </c>
      <c r="B20" s="226"/>
      <c r="C20" s="228"/>
      <c r="D20" s="228"/>
      <c r="E20" s="228"/>
      <c r="F20" s="71">
        <f>E20+D20</f>
        <v>0</v>
      </c>
      <c r="G20" s="72" t="e">
        <f t="shared" si="1"/>
        <v>#DIV/0!</v>
      </c>
      <c r="H20" s="153"/>
    </row>
    <row r="21" spans="1:8" hidden="1" x14ac:dyDescent="0.25">
      <c r="A21" s="75" t="s">
        <v>92</v>
      </c>
      <c r="B21" s="226"/>
      <c r="C21" s="228"/>
      <c r="D21" s="186"/>
      <c r="E21" s="186"/>
      <c r="F21" s="73">
        <f>E21+D21</f>
        <v>0</v>
      </c>
      <c r="G21" s="72" t="e">
        <f t="shared" si="1"/>
        <v>#DIV/0!</v>
      </c>
      <c r="H21" s="153"/>
    </row>
    <row r="22" spans="1:8" hidden="1" x14ac:dyDescent="0.25">
      <c r="A22" s="30" t="s">
        <v>95</v>
      </c>
      <c r="B22" s="8">
        <f>SUM(B19:B21)</f>
        <v>0</v>
      </c>
      <c r="C22" s="74">
        <f>SUM(C19:C21)</f>
        <v>0</v>
      </c>
      <c r="D22" s="74">
        <f>SUM(D19:D21)</f>
        <v>0</v>
      </c>
      <c r="E22" s="74">
        <f>SUM(E19:E21)</f>
        <v>0</v>
      </c>
      <c r="F22" s="74">
        <f>SUM(F19:F21)</f>
        <v>0</v>
      </c>
      <c r="G22" s="16" t="e">
        <f t="shared" si="1"/>
        <v>#DIV/0!</v>
      </c>
      <c r="H22" s="153"/>
    </row>
    <row r="23" spans="1:8" hidden="1" x14ac:dyDescent="0.25">
      <c r="A23" s="76" t="s">
        <v>9</v>
      </c>
      <c r="B23" s="10">
        <f>+B10+B14+B18+B22</f>
        <v>330</v>
      </c>
      <c r="C23" s="10">
        <f>+C10+C14+C18+C22</f>
        <v>15687101.33</v>
      </c>
      <c r="D23" s="10">
        <f>+D10+D14+D18+D22</f>
        <v>970260.01</v>
      </c>
      <c r="E23" s="10">
        <f>+E10+E14+E18+E22</f>
        <v>1030017.84</v>
      </c>
      <c r="F23" s="10">
        <f>+F10+F14+F18+F22</f>
        <v>2000277.85</v>
      </c>
      <c r="G23" s="10">
        <f t="shared" si="1"/>
        <v>0.12751099186021514</v>
      </c>
      <c r="H23" s="153"/>
    </row>
    <row r="24" spans="1:8" hidden="1" x14ac:dyDescent="0.25">
      <c r="A24" s="153"/>
      <c r="B24" s="153"/>
      <c r="C24" s="153"/>
      <c r="D24" s="153"/>
      <c r="E24" s="153"/>
      <c r="F24" s="153"/>
      <c r="G24" s="153"/>
      <c r="H24" s="153"/>
    </row>
    <row r="25" spans="1:8" hidden="1" x14ac:dyDescent="0.25">
      <c r="A25" s="153"/>
      <c r="B25" s="153"/>
      <c r="C25" s="153"/>
      <c r="D25" s="153"/>
      <c r="E25" s="153"/>
      <c r="F25" s="153"/>
      <c r="G25" s="153"/>
      <c r="H25" s="153"/>
    </row>
    <row r="26" spans="1:8" hidden="1" x14ac:dyDescent="0.25">
      <c r="A26" s="153"/>
      <c r="B26" s="153"/>
      <c r="C26" s="153"/>
      <c r="D26" s="153"/>
      <c r="E26" s="153"/>
      <c r="F26" s="153"/>
      <c r="G26" s="153"/>
      <c r="H26" s="153"/>
    </row>
    <row r="27" spans="1:8" hidden="1" x14ac:dyDescent="0.25">
      <c r="A27" s="153"/>
      <c r="B27" s="153"/>
      <c r="C27" s="153"/>
      <c r="D27" s="153"/>
      <c r="E27" s="153"/>
      <c r="F27" s="153"/>
      <c r="G27" s="153"/>
      <c r="H27" s="153"/>
    </row>
    <row r="28" spans="1:8" hidden="1" x14ac:dyDescent="0.25">
      <c r="A28" s="153"/>
      <c r="B28" s="153"/>
      <c r="C28" s="153"/>
      <c r="D28" s="153"/>
      <c r="E28" s="153"/>
      <c r="F28" s="153"/>
      <c r="G28" s="153"/>
      <c r="H28" s="153"/>
    </row>
    <row r="29" spans="1:8" hidden="1" x14ac:dyDescent="0.25">
      <c r="A29" s="153"/>
      <c r="B29" s="153"/>
      <c r="C29" s="153"/>
      <c r="D29" s="153"/>
      <c r="E29" s="153"/>
      <c r="F29" s="153"/>
      <c r="G29" s="153"/>
      <c r="H29" s="153"/>
    </row>
    <row r="30" spans="1:8" hidden="1" x14ac:dyDescent="0.25">
      <c r="A30" s="153"/>
      <c r="B30" s="153"/>
      <c r="C30" s="153"/>
      <c r="D30" s="153"/>
      <c r="E30" s="153"/>
      <c r="F30" s="153"/>
      <c r="G30" s="153"/>
      <c r="H30" s="153"/>
    </row>
    <row r="31" spans="1:8" hidden="1" x14ac:dyDescent="0.25">
      <c r="A31" s="153"/>
      <c r="B31" s="153"/>
      <c r="C31" s="153"/>
      <c r="D31" s="153"/>
      <c r="E31" s="153"/>
      <c r="F31" s="153"/>
      <c r="G31" s="153"/>
      <c r="H31" s="153"/>
    </row>
    <row r="32" spans="1:8" hidden="1" x14ac:dyDescent="0.25">
      <c r="A32" s="153"/>
      <c r="B32" s="153"/>
      <c r="C32" s="153"/>
      <c r="D32" s="153"/>
      <c r="E32" s="153"/>
      <c r="F32" s="153"/>
      <c r="G32" s="153"/>
      <c r="H32" s="153"/>
    </row>
    <row r="33" spans="1:8" hidden="1" x14ac:dyDescent="0.25">
      <c r="A33" s="153"/>
      <c r="B33" s="153"/>
      <c r="C33" s="153"/>
      <c r="D33" s="153"/>
      <c r="E33" s="153"/>
      <c r="F33" s="153"/>
      <c r="G33" s="153"/>
      <c r="H33" s="153"/>
    </row>
    <row r="34" spans="1:8" x14ac:dyDescent="0.25">
      <c r="A34" s="162" t="s">
        <v>176</v>
      </c>
      <c r="B34" s="153"/>
      <c r="C34" s="153"/>
      <c r="D34" s="153"/>
      <c r="E34" s="153"/>
      <c r="F34" s="153"/>
      <c r="G34" s="153"/>
      <c r="H34" s="153"/>
    </row>
    <row r="35" spans="1:8" x14ac:dyDescent="0.25">
      <c r="A35" s="161"/>
      <c r="B35" s="153"/>
      <c r="C35" s="153"/>
      <c r="D35" s="153"/>
      <c r="E35" s="153"/>
      <c r="F35" s="153"/>
      <c r="G35" s="153"/>
      <c r="H35" s="153"/>
    </row>
    <row r="36" spans="1:8" x14ac:dyDescent="0.25">
      <c r="A36" s="153"/>
      <c r="B36" s="153"/>
      <c r="C36" s="153"/>
      <c r="D36" s="153"/>
      <c r="E36" s="153"/>
      <c r="F36" s="153"/>
      <c r="G36" s="153"/>
      <c r="H36" s="153"/>
    </row>
    <row r="37" spans="1:8" x14ac:dyDescent="0.25">
      <c r="A37" s="153"/>
      <c r="B37" s="153"/>
      <c r="C37" s="153"/>
      <c r="D37" s="153"/>
      <c r="E37" s="153"/>
      <c r="F37" s="153"/>
      <c r="G37" s="153"/>
      <c r="H37" s="153"/>
    </row>
    <row r="38" spans="1:8" x14ac:dyDescent="0.25">
      <c r="A38" s="153"/>
      <c r="B38" s="153"/>
      <c r="C38" s="153"/>
      <c r="D38" s="153"/>
      <c r="E38" s="153"/>
      <c r="F38" s="153"/>
      <c r="G38" s="153"/>
      <c r="H38" s="153"/>
    </row>
    <row r="39" spans="1:8" x14ac:dyDescent="0.25">
      <c r="A39" s="153"/>
      <c r="B39" s="153"/>
      <c r="C39" s="153"/>
      <c r="D39" s="153"/>
      <c r="E39" s="153"/>
      <c r="F39" s="153"/>
      <c r="G39" s="153"/>
      <c r="H39" s="153"/>
    </row>
    <row r="40" spans="1:8" x14ac:dyDescent="0.25">
      <c r="A40" s="153"/>
      <c r="B40" s="153"/>
      <c r="C40" s="153"/>
      <c r="D40" s="153"/>
      <c r="E40" s="153"/>
      <c r="F40" s="153"/>
      <c r="G40" s="153"/>
      <c r="H40" s="153"/>
    </row>
    <row r="41" spans="1:8" x14ac:dyDescent="0.25">
      <c r="A41" s="153"/>
      <c r="B41" s="153"/>
      <c r="C41" s="153"/>
      <c r="D41" s="153"/>
      <c r="E41" s="153"/>
      <c r="F41" s="153"/>
      <c r="G41" s="153"/>
      <c r="H41" s="153"/>
    </row>
    <row r="42" spans="1:8" x14ac:dyDescent="0.25">
      <c r="A42" s="153"/>
      <c r="B42" s="153"/>
      <c r="C42" s="153"/>
      <c r="D42" s="153"/>
      <c r="E42" s="153"/>
      <c r="F42" s="153"/>
      <c r="G42" s="153"/>
      <c r="H42" s="153"/>
    </row>
    <row r="43" spans="1:8" x14ac:dyDescent="0.25">
      <c r="A43" s="153"/>
      <c r="B43" s="153"/>
      <c r="C43" s="153"/>
      <c r="D43" s="153"/>
      <c r="E43" s="153"/>
      <c r="F43" s="153"/>
      <c r="G43" s="153"/>
      <c r="H43" s="153"/>
    </row>
    <row r="44" spans="1:8" x14ac:dyDescent="0.25">
      <c r="A44" s="153"/>
      <c r="B44" s="153"/>
      <c r="C44" s="153"/>
      <c r="D44" s="153"/>
      <c r="E44" s="153"/>
      <c r="F44" s="153"/>
      <c r="G44" s="153"/>
      <c r="H44" s="153"/>
    </row>
    <row r="45" spans="1:8" x14ac:dyDescent="0.25">
      <c r="A45" s="153"/>
      <c r="B45" s="153"/>
      <c r="C45" s="153"/>
      <c r="D45" s="153"/>
      <c r="E45" s="153"/>
      <c r="F45" s="153"/>
      <c r="G45" s="153"/>
      <c r="H45" s="153"/>
    </row>
    <row r="46" spans="1:8" x14ac:dyDescent="0.25">
      <c r="A46" s="153"/>
      <c r="B46" s="153"/>
      <c r="C46" s="153"/>
      <c r="D46" s="153"/>
      <c r="E46" s="153"/>
      <c r="F46" s="153"/>
      <c r="G46" s="153"/>
      <c r="H46" s="153"/>
    </row>
    <row r="47" spans="1:8" x14ac:dyDescent="0.25">
      <c r="A47" s="153"/>
      <c r="B47" s="153"/>
      <c r="C47" s="153"/>
      <c r="D47" s="153"/>
      <c r="E47" s="153"/>
      <c r="F47" s="153"/>
      <c r="G47" s="153"/>
      <c r="H47" s="153"/>
    </row>
    <row r="48" spans="1:8" x14ac:dyDescent="0.25">
      <c r="A48" s="153"/>
      <c r="B48" s="153"/>
      <c r="C48" s="153"/>
      <c r="D48" s="153"/>
      <c r="E48" s="153"/>
      <c r="F48" s="153"/>
      <c r="G48" s="153"/>
      <c r="H48" s="153"/>
    </row>
    <row r="49" spans="1:8" x14ac:dyDescent="0.25">
      <c r="A49" s="153"/>
      <c r="B49" s="153"/>
      <c r="C49" s="153"/>
      <c r="D49" s="153"/>
      <c r="E49" s="153"/>
      <c r="F49" s="153"/>
      <c r="G49" s="153"/>
      <c r="H49" s="153"/>
    </row>
    <row r="50" spans="1:8" x14ac:dyDescent="0.25">
      <c r="A50" s="153"/>
      <c r="B50" s="153"/>
      <c r="C50" s="153"/>
      <c r="D50" s="153"/>
      <c r="E50" s="153"/>
      <c r="F50" s="153"/>
      <c r="G50" s="153"/>
      <c r="H50" s="153"/>
    </row>
    <row r="51" spans="1:8" x14ac:dyDescent="0.25">
      <c r="A51" s="153"/>
      <c r="B51" s="153"/>
      <c r="C51" s="153"/>
      <c r="D51" s="153"/>
      <c r="E51" s="153"/>
      <c r="F51" s="153"/>
      <c r="G51" s="153"/>
      <c r="H51" s="153"/>
    </row>
    <row r="52" spans="1:8" x14ac:dyDescent="0.25">
      <c r="A52" s="153"/>
      <c r="B52" s="153"/>
      <c r="C52" s="153"/>
      <c r="D52" s="153"/>
      <c r="E52" s="153"/>
      <c r="F52" s="153"/>
      <c r="G52" s="153"/>
      <c r="H52" s="153"/>
    </row>
    <row r="53" spans="1:8" x14ac:dyDescent="0.25">
      <c r="A53" s="153"/>
      <c r="B53" s="153"/>
      <c r="C53" s="153"/>
      <c r="D53" s="153"/>
      <c r="E53" s="153"/>
      <c r="F53" s="153"/>
      <c r="G53" s="153"/>
      <c r="H53" s="153"/>
    </row>
    <row r="54" spans="1:8" x14ac:dyDescent="0.25">
      <c r="A54" s="153"/>
      <c r="B54" s="153"/>
      <c r="C54" s="153"/>
      <c r="D54" s="153"/>
      <c r="E54" s="153"/>
      <c r="F54" s="153"/>
      <c r="G54" s="153"/>
      <c r="H54" s="153"/>
    </row>
    <row r="55" spans="1:8" x14ac:dyDescent="0.25">
      <c r="A55" s="153"/>
      <c r="B55" s="153"/>
      <c r="C55" s="153"/>
      <c r="D55" s="153"/>
      <c r="E55" s="153"/>
      <c r="F55" s="153"/>
      <c r="G55" s="153"/>
      <c r="H55" s="153"/>
    </row>
    <row r="56" spans="1:8" x14ac:dyDescent="0.25">
      <c r="A56" s="153"/>
      <c r="B56" s="153"/>
      <c r="C56" s="153"/>
      <c r="D56" s="153"/>
      <c r="E56" s="153"/>
      <c r="F56" s="153"/>
      <c r="G56" s="153"/>
      <c r="H56" s="153"/>
    </row>
    <row r="57" spans="1:8" x14ac:dyDescent="0.25">
      <c r="A57" s="153"/>
      <c r="B57" s="153"/>
      <c r="C57" s="153"/>
      <c r="D57" s="153"/>
      <c r="E57" s="153"/>
      <c r="F57" s="153"/>
      <c r="G57" s="153"/>
      <c r="H57" s="153"/>
    </row>
    <row r="59" spans="1:8" x14ac:dyDescent="0.25">
      <c r="A59" s="75"/>
      <c r="B59" s="229"/>
      <c r="C59" s="227"/>
      <c r="D59" s="186"/>
      <c r="E59" s="186"/>
      <c r="F59" s="73"/>
      <c r="G59" s="72"/>
    </row>
    <row r="61" spans="1:8" x14ac:dyDescent="0.25">
      <c r="A61" s="75"/>
      <c r="B61" s="226"/>
      <c r="C61" s="227"/>
      <c r="D61" s="228"/>
      <c r="E61" s="228"/>
      <c r="F61" s="73"/>
      <c r="G61" s="72"/>
    </row>
  </sheetData>
  <mergeCells count="5">
    <mergeCell ref="A1:G1"/>
    <mergeCell ref="A2:G2"/>
    <mergeCell ref="A3:G3"/>
    <mergeCell ref="A5:G5"/>
    <mergeCell ref="A4:G4"/>
  </mergeCells>
  <pageMargins left="0.7" right="0.7" top="0.75" bottom="0.75" header="0.3" footer="0.3"/>
  <pageSetup paperSize="9" scale="54" orientation="portrait" r:id="rId1"/>
  <ignoredErrors>
    <ignoredError sqref="F10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BF55"/>
  <sheetViews>
    <sheetView showGridLines="0" zoomScaleNormal="100" workbookViewId="0">
      <pane xSplit="2" ySplit="10" topLeftCell="C50" activePane="bottomRight" state="frozen"/>
      <selection activeCell="A34" activeCellId="1" sqref="B52 A34"/>
      <selection pane="topRight" activeCell="A34" activeCellId="1" sqref="B52 A34"/>
      <selection pane="bottomLeft" activeCell="A34" activeCellId="1" sqref="B52 A34"/>
      <selection pane="bottomRight" activeCell="BA59" sqref="BA59"/>
    </sheetView>
  </sheetViews>
  <sheetFormatPr baseColWidth="10" defaultColWidth="11.42578125" defaultRowHeight="15" x14ac:dyDescent="0.25"/>
  <cols>
    <col min="1" max="1" width="11.42578125" style="1"/>
    <col min="2" max="2" width="45.5703125" style="1" bestFit="1" customWidth="1"/>
    <col min="3" max="14" width="0" style="1" hidden="1" customWidth="1"/>
    <col min="15" max="23" width="11.42578125" style="1" hidden="1" customWidth="1"/>
    <col min="24" max="26" width="11.42578125" style="1"/>
    <col min="27" max="50" width="0" style="1" hidden="1" customWidth="1"/>
    <col min="51" max="16384" width="11.42578125" style="1"/>
  </cols>
  <sheetData>
    <row r="1" spans="1:58" x14ac:dyDescent="0.25">
      <c r="A1" s="23"/>
      <c r="B1" s="242" t="s">
        <v>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</row>
    <row r="2" spans="1:58" x14ac:dyDescent="0.25">
      <c r="A2" s="23"/>
      <c r="B2" s="242" t="s">
        <v>125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58" x14ac:dyDescent="0.25">
      <c r="A3" s="23"/>
      <c r="B3" s="242" t="s">
        <v>124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spans="1:58" x14ac:dyDescent="0.25">
      <c r="A4" s="23"/>
      <c r="B4" s="242" t="s">
        <v>225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spans="1:58" x14ac:dyDescent="0.25">
      <c r="A5" s="24"/>
      <c r="B5" s="243" t="s">
        <v>166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</row>
    <row r="8" spans="1:58" ht="15.75" x14ac:dyDescent="0.25">
      <c r="B8" s="277" t="s">
        <v>96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</row>
    <row r="9" spans="1:58" x14ac:dyDescent="0.25">
      <c r="B9" s="230"/>
      <c r="C9" s="259" t="s">
        <v>84</v>
      </c>
      <c r="D9" s="259"/>
      <c r="E9" s="259"/>
      <c r="F9" s="259" t="s">
        <v>85</v>
      </c>
      <c r="G9" s="259"/>
      <c r="H9" s="259"/>
      <c r="I9" s="259" t="s">
        <v>86</v>
      </c>
      <c r="J9" s="259"/>
      <c r="K9" s="259"/>
      <c r="L9" s="259" t="s">
        <v>93</v>
      </c>
      <c r="M9" s="259"/>
      <c r="N9" s="259"/>
      <c r="O9" s="259" t="s">
        <v>36</v>
      </c>
      <c r="P9" s="259"/>
      <c r="Q9" s="259"/>
      <c r="R9" s="259" t="s">
        <v>37</v>
      </c>
      <c r="S9" s="259"/>
      <c r="T9" s="259"/>
      <c r="U9" s="259" t="s">
        <v>38</v>
      </c>
      <c r="V9" s="259"/>
      <c r="W9" s="259"/>
      <c r="X9" s="259" t="s">
        <v>235</v>
      </c>
      <c r="Y9" s="259"/>
      <c r="Z9" s="259"/>
      <c r="AA9" s="259" t="s">
        <v>87</v>
      </c>
      <c r="AB9" s="259"/>
      <c r="AC9" s="259"/>
      <c r="AD9" s="259" t="s">
        <v>88</v>
      </c>
      <c r="AE9" s="259"/>
      <c r="AF9" s="259"/>
      <c r="AG9" s="259" t="s">
        <v>89</v>
      </c>
      <c r="AH9" s="259"/>
      <c r="AI9" s="259"/>
      <c r="AJ9" s="259" t="s">
        <v>94</v>
      </c>
      <c r="AK9" s="259"/>
      <c r="AL9" s="259"/>
      <c r="AM9" s="259" t="s">
        <v>90</v>
      </c>
      <c r="AN9" s="259"/>
      <c r="AO9" s="259"/>
      <c r="AP9" s="259" t="s">
        <v>91</v>
      </c>
      <c r="AQ9" s="259"/>
      <c r="AR9" s="259"/>
      <c r="AS9" s="259" t="s">
        <v>92</v>
      </c>
      <c r="AT9" s="259"/>
      <c r="AU9" s="259"/>
      <c r="AV9" s="259" t="s">
        <v>95</v>
      </c>
      <c r="AW9" s="259"/>
      <c r="AX9" s="259"/>
      <c r="AY9" s="153"/>
      <c r="AZ9" s="153"/>
      <c r="BA9" s="153"/>
      <c r="BB9" s="153"/>
      <c r="BC9" s="153"/>
      <c r="BD9" s="153"/>
      <c r="BE9" s="153"/>
      <c r="BF9" s="153"/>
    </row>
    <row r="10" spans="1:58" x14ac:dyDescent="0.25">
      <c r="B10" s="59" t="s">
        <v>64</v>
      </c>
      <c r="C10" s="59" t="s">
        <v>65</v>
      </c>
      <c r="D10" s="59" t="s">
        <v>66</v>
      </c>
      <c r="E10" s="59" t="s">
        <v>67</v>
      </c>
      <c r="F10" s="59" t="s">
        <v>65</v>
      </c>
      <c r="G10" s="59" t="s">
        <v>66</v>
      </c>
      <c r="H10" s="59" t="s">
        <v>67</v>
      </c>
      <c r="I10" s="59" t="s">
        <v>65</v>
      </c>
      <c r="J10" s="59" t="s">
        <v>66</v>
      </c>
      <c r="K10" s="59" t="s">
        <v>67</v>
      </c>
      <c r="L10" s="59" t="s">
        <v>65</v>
      </c>
      <c r="M10" s="59" t="s">
        <v>66</v>
      </c>
      <c r="N10" s="59" t="s">
        <v>67</v>
      </c>
      <c r="O10" s="59" t="s">
        <v>65</v>
      </c>
      <c r="P10" s="59" t="s">
        <v>66</v>
      </c>
      <c r="Q10" s="59" t="s">
        <v>67</v>
      </c>
      <c r="R10" s="59" t="s">
        <v>65</v>
      </c>
      <c r="S10" s="59" t="s">
        <v>66</v>
      </c>
      <c r="T10" s="59" t="s">
        <v>67</v>
      </c>
      <c r="U10" s="59" t="s">
        <v>65</v>
      </c>
      <c r="V10" s="59" t="s">
        <v>66</v>
      </c>
      <c r="W10" s="59" t="s">
        <v>67</v>
      </c>
      <c r="X10" s="59" t="s">
        <v>65</v>
      </c>
      <c r="Y10" s="59" t="s">
        <v>66</v>
      </c>
      <c r="Z10" s="59" t="s">
        <v>67</v>
      </c>
      <c r="AA10" s="59" t="s">
        <v>65</v>
      </c>
      <c r="AB10" s="59" t="s">
        <v>66</v>
      </c>
      <c r="AC10" s="59" t="s">
        <v>67</v>
      </c>
      <c r="AD10" s="59" t="s">
        <v>65</v>
      </c>
      <c r="AE10" s="59" t="s">
        <v>66</v>
      </c>
      <c r="AF10" s="59" t="s">
        <v>67</v>
      </c>
      <c r="AG10" s="59" t="s">
        <v>65</v>
      </c>
      <c r="AH10" s="59" t="s">
        <v>66</v>
      </c>
      <c r="AI10" s="59" t="s">
        <v>67</v>
      </c>
      <c r="AJ10" s="59" t="s">
        <v>65</v>
      </c>
      <c r="AK10" s="59" t="s">
        <v>66</v>
      </c>
      <c r="AL10" s="59" t="s">
        <v>67</v>
      </c>
      <c r="AM10" s="59" t="s">
        <v>65</v>
      </c>
      <c r="AN10" s="59" t="s">
        <v>66</v>
      </c>
      <c r="AO10" s="59" t="s">
        <v>67</v>
      </c>
      <c r="AP10" s="59" t="s">
        <v>65</v>
      </c>
      <c r="AQ10" s="59" t="s">
        <v>66</v>
      </c>
      <c r="AR10" s="59" t="s">
        <v>67</v>
      </c>
      <c r="AS10" s="59" t="s">
        <v>65</v>
      </c>
      <c r="AT10" s="59" t="s">
        <v>66</v>
      </c>
      <c r="AU10" s="59" t="s">
        <v>67</v>
      </c>
      <c r="AV10" s="59" t="s">
        <v>65</v>
      </c>
      <c r="AW10" s="59" t="s">
        <v>66</v>
      </c>
      <c r="AX10" s="59" t="s">
        <v>67</v>
      </c>
      <c r="AY10" s="153"/>
      <c r="AZ10" s="153"/>
      <c r="BA10" s="153"/>
      <c r="BB10" s="153"/>
      <c r="BC10" s="153"/>
      <c r="BD10" s="153"/>
      <c r="BE10" s="153"/>
      <c r="BF10" s="153"/>
    </row>
    <row r="11" spans="1:58" x14ac:dyDescent="0.25">
      <c r="B11" s="58" t="s">
        <v>68</v>
      </c>
      <c r="C11" s="231">
        <v>9</v>
      </c>
      <c r="D11" s="231">
        <v>9</v>
      </c>
      <c r="E11" s="139">
        <f>IFERROR(D11/C11,"-")</f>
        <v>1</v>
      </c>
      <c r="F11" s="231">
        <v>12</v>
      </c>
      <c r="G11" s="231">
        <v>11</v>
      </c>
      <c r="H11" s="139">
        <f>IFERROR(G11/F11,"-")</f>
        <v>0.91666666666666663</v>
      </c>
      <c r="I11" s="231">
        <v>13</v>
      </c>
      <c r="J11" s="231">
        <v>13</v>
      </c>
      <c r="K11" s="139">
        <f>IFERROR(J11/I11,"-")</f>
        <v>1</v>
      </c>
      <c r="L11" s="231">
        <f>+C11+F11+I11</f>
        <v>34</v>
      </c>
      <c r="M11" s="231">
        <f>+D11+G11+J11</f>
        <v>33</v>
      </c>
      <c r="N11" s="139">
        <f>IFERROR(M11/L11,"-")</f>
        <v>0.97058823529411764</v>
      </c>
      <c r="O11" s="231">
        <v>7</v>
      </c>
      <c r="P11" s="231">
        <v>7</v>
      </c>
      <c r="Q11" s="139">
        <f>IFERROR(P11/O11,"-")</f>
        <v>1</v>
      </c>
      <c r="R11" s="231">
        <v>9</v>
      </c>
      <c r="S11" s="231">
        <v>8</v>
      </c>
      <c r="T11" s="139">
        <f>IFERROR(S11/R11,"-")</f>
        <v>0.88888888888888884</v>
      </c>
      <c r="U11" s="231">
        <v>12</v>
      </c>
      <c r="V11" s="231">
        <v>9</v>
      </c>
      <c r="W11" s="139">
        <f>IFERROR(V11/U11,"-")</f>
        <v>0.75</v>
      </c>
      <c r="X11" s="177">
        <v>172</v>
      </c>
      <c r="Y11" s="177">
        <v>170</v>
      </c>
      <c r="Z11" s="83">
        <f>IFERROR(Y11/X11,"-")</f>
        <v>0.98837209302325579</v>
      </c>
      <c r="AA11" s="181"/>
      <c r="AB11" s="181"/>
      <c r="AC11" s="139" t="str">
        <f>IFERROR(AB11/AA11,"-")</f>
        <v>-</v>
      </c>
      <c r="AD11" s="181"/>
      <c r="AE11" s="181"/>
      <c r="AF11" s="139" t="str">
        <f>IFERROR(AE11/AD11,"-")</f>
        <v>-</v>
      </c>
      <c r="AG11" s="181"/>
      <c r="AH11" s="181"/>
      <c r="AI11" s="139" t="str">
        <f>IFERROR(AH11/AG11,"-")</f>
        <v>-</v>
      </c>
      <c r="AJ11" s="181"/>
      <c r="AK11" s="181"/>
      <c r="AL11" s="139" t="str">
        <f>IFERROR(AK11/AJ11,"-")</f>
        <v>-</v>
      </c>
      <c r="AM11" s="181"/>
      <c r="AN11" s="181"/>
      <c r="AO11" s="139" t="str">
        <f>IFERROR(AN11/AM11,"-")</f>
        <v>-</v>
      </c>
      <c r="AP11" s="181"/>
      <c r="AQ11" s="181"/>
      <c r="AR11" s="139" t="str">
        <f>IFERROR(AQ11/AP11,"-")</f>
        <v>-</v>
      </c>
      <c r="AS11" s="181"/>
      <c r="AT11" s="181"/>
      <c r="AU11" s="139" t="str">
        <f>IFERROR(AT11/AS11,"-")</f>
        <v>-</v>
      </c>
      <c r="AV11" s="181"/>
      <c r="AW11" s="181"/>
      <c r="AX11" s="139" t="str">
        <f>IFERROR(AW11/AV11,"-")</f>
        <v>-</v>
      </c>
      <c r="AY11" s="153"/>
      <c r="AZ11" s="153"/>
      <c r="BA11" s="153"/>
      <c r="BB11" s="153"/>
      <c r="BC11" s="153"/>
      <c r="BD11" s="153"/>
      <c r="BE11" s="153"/>
      <c r="BF11" s="153"/>
    </row>
    <row r="12" spans="1:58" x14ac:dyDescent="0.25">
      <c r="B12" s="58" t="s">
        <v>69</v>
      </c>
      <c r="C12" s="231">
        <v>2563</v>
      </c>
      <c r="D12" s="231">
        <v>2563</v>
      </c>
      <c r="E12" s="139">
        <f t="shared" ref="E12:E30" si="0">IFERROR(D12/C12,"-")</f>
        <v>1</v>
      </c>
      <c r="F12" s="231">
        <v>2224</v>
      </c>
      <c r="G12" s="231">
        <v>2224</v>
      </c>
      <c r="H12" s="139">
        <f t="shared" ref="H12:H20" si="1">IFERROR(G12/F12,"-")</f>
        <v>1</v>
      </c>
      <c r="I12" s="231">
        <v>2944</v>
      </c>
      <c r="J12" s="231">
        <v>2944</v>
      </c>
      <c r="K12" s="139">
        <f t="shared" ref="K12:K20" si="2">IFERROR(J12/I12,"-")</f>
        <v>1</v>
      </c>
      <c r="L12" s="231">
        <f t="shared" ref="L12:L29" si="3">+C12+F12+I12</f>
        <v>7731</v>
      </c>
      <c r="M12" s="231">
        <f t="shared" ref="M12:M29" si="4">+D12+G12+J12</f>
        <v>7731</v>
      </c>
      <c r="N12" s="139">
        <f t="shared" ref="N12:N30" si="5">IFERROR(M12/L12,"-")</f>
        <v>1</v>
      </c>
      <c r="O12" s="231">
        <v>3076</v>
      </c>
      <c r="P12" s="231">
        <v>3076</v>
      </c>
      <c r="Q12" s="139">
        <f t="shared" ref="Q12:Q20" si="6">IFERROR(P12/O12,"-")</f>
        <v>1</v>
      </c>
      <c r="R12" s="231">
        <v>3639</v>
      </c>
      <c r="S12" s="231">
        <v>3639</v>
      </c>
      <c r="T12" s="139">
        <f t="shared" ref="T12:T20" si="7">IFERROR(S12/R12,"-")</f>
        <v>1</v>
      </c>
      <c r="U12" s="231">
        <v>2780</v>
      </c>
      <c r="V12" s="231">
        <v>2780</v>
      </c>
      <c r="W12" s="139">
        <f t="shared" ref="W12:W20" si="8">IFERROR(V12/U12,"-")</f>
        <v>1</v>
      </c>
      <c r="X12" s="177">
        <v>8355</v>
      </c>
      <c r="Y12" s="177">
        <v>8355</v>
      </c>
      <c r="Z12" s="83">
        <f t="shared" ref="Z12:Z21" si="9">IFERROR(Y12/X12,"-")</f>
        <v>1</v>
      </c>
      <c r="AA12" s="181"/>
      <c r="AB12" s="181"/>
      <c r="AC12" s="139" t="str">
        <f t="shared" ref="AC12:AC18" si="10">IFERROR(AB12/AA12,"-")</f>
        <v>-</v>
      </c>
      <c r="AD12" s="181"/>
      <c r="AE12" s="181"/>
      <c r="AF12" s="139" t="str">
        <f t="shared" ref="AF12:AF18" si="11">IFERROR(AE12/AD12,"-")</f>
        <v>-</v>
      </c>
      <c r="AG12" s="181"/>
      <c r="AH12" s="181"/>
      <c r="AI12" s="139" t="str">
        <f t="shared" ref="AI12:AI18" si="12">IFERROR(AH12/AG12,"-")</f>
        <v>-</v>
      </c>
      <c r="AJ12" s="181"/>
      <c r="AK12" s="181"/>
      <c r="AL12" s="139" t="str">
        <f t="shared" ref="AL12:AL18" si="13">IFERROR(AK12/AJ12,"-")</f>
        <v>-</v>
      </c>
      <c r="AM12" s="181"/>
      <c r="AN12" s="181"/>
      <c r="AO12" s="139" t="str">
        <f t="shared" ref="AO12:AO18" si="14">IFERROR(AN12/AM12,"-")</f>
        <v>-</v>
      </c>
      <c r="AP12" s="181"/>
      <c r="AQ12" s="181"/>
      <c r="AR12" s="139" t="str">
        <f t="shared" ref="AR12:AR18" si="15">IFERROR(AQ12/AP12,"-")</f>
        <v>-</v>
      </c>
      <c r="AS12" s="181"/>
      <c r="AT12" s="181"/>
      <c r="AU12" s="139" t="str">
        <f t="shared" ref="AU12:AU18" si="16">IFERROR(AT12/AS12,"-")</f>
        <v>-</v>
      </c>
      <c r="AV12" s="181"/>
      <c r="AW12" s="181"/>
      <c r="AX12" s="139" t="str">
        <f t="shared" ref="AX12:AX18" si="17">IFERROR(AW12/AV12,"-")</f>
        <v>-</v>
      </c>
      <c r="AY12" s="153"/>
      <c r="AZ12" s="153"/>
      <c r="BA12" s="153"/>
      <c r="BB12" s="153"/>
      <c r="BC12" s="153"/>
      <c r="BD12" s="153"/>
      <c r="BE12" s="153"/>
      <c r="BF12" s="153"/>
    </row>
    <row r="13" spans="1:58" x14ac:dyDescent="0.25">
      <c r="B13" s="58" t="s">
        <v>22</v>
      </c>
      <c r="C13" s="231">
        <v>401</v>
      </c>
      <c r="D13" s="231">
        <v>397</v>
      </c>
      <c r="E13" s="139">
        <f t="shared" si="0"/>
        <v>0.9900249376558603</v>
      </c>
      <c r="F13" s="231">
        <v>411</v>
      </c>
      <c r="G13" s="231">
        <v>396</v>
      </c>
      <c r="H13" s="139">
        <f t="shared" si="1"/>
        <v>0.96350364963503654</v>
      </c>
      <c r="I13" s="231">
        <v>405</v>
      </c>
      <c r="J13" s="231">
        <v>404</v>
      </c>
      <c r="K13" s="139">
        <f t="shared" si="2"/>
        <v>0.9975308641975309</v>
      </c>
      <c r="L13" s="231">
        <f t="shared" si="3"/>
        <v>1217</v>
      </c>
      <c r="M13" s="231">
        <f t="shared" si="4"/>
        <v>1197</v>
      </c>
      <c r="N13" s="139">
        <f t="shared" si="5"/>
        <v>0.98356614626129824</v>
      </c>
      <c r="O13" s="231">
        <v>349</v>
      </c>
      <c r="P13" s="231">
        <v>338</v>
      </c>
      <c r="Q13" s="139">
        <f t="shared" si="6"/>
        <v>0.96848137535816614</v>
      </c>
      <c r="R13" s="231">
        <v>439</v>
      </c>
      <c r="S13" s="231">
        <v>396</v>
      </c>
      <c r="T13" s="139">
        <f t="shared" si="7"/>
        <v>0.90205011389521639</v>
      </c>
      <c r="U13" s="231">
        <v>297</v>
      </c>
      <c r="V13" s="231">
        <v>295</v>
      </c>
      <c r="W13" s="139">
        <f t="shared" si="8"/>
        <v>0.9932659932659933</v>
      </c>
      <c r="X13" s="232">
        <v>662</v>
      </c>
      <c r="Y13" s="177">
        <v>624</v>
      </c>
      <c r="Z13" s="83">
        <f t="shared" si="9"/>
        <v>0.94259818731117828</v>
      </c>
      <c r="AA13" s="181"/>
      <c r="AB13" s="181"/>
      <c r="AC13" s="139" t="str">
        <f t="shared" si="10"/>
        <v>-</v>
      </c>
      <c r="AD13" s="181"/>
      <c r="AE13" s="181"/>
      <c r="AF13" s="139" t="str">
        <f t="shared" si="11"/>
        <v>-</v>
      </c>
      <c r="AG13" s="181"/>
      <c r="AH13" s="181"/>
      <c r="AI13" s="139" t="str">
        <f t="shared" si="12"/>
        <v>-</v>
      </c>
      <c r="AJ13" s="181"/>
      <c r="AK13" s="181"/>
      <c r="AL13" s="139" t="str">
        <f t="shared" si="13"/>
        <v>-</v>
      </c>
      <c r="AM13" s="181"/>
      <c r="AN13" s="181"/>
      <c r="AO13" s="139" t="str">
        <f t="shared" si="14"/>
        <v>-</v>
      </c>
      <c r="AP13" s="181"/>
      <c r="AQ13" s="181"/>
      <c r="AR13" s="139" t="str">
        <f t="shared" si="15"/>
        <v>-</v>
      </c>
      <c r="AS13" s="181"/>
      <c r="AT13" s="181"/>
      <c r="AU13" s="139" t="str">
        <f t="shared" si="16"/>
        <v>-</v>
      </c>
      <c r="AV13" s="181"/>
      <c r="AW13" s="181"/>
      <c r="AX13" s="139" t="str">
        <f t="shared" si="17"/>
        <v>-</v>
      </c>
      <c r="AY13" s="153"/>
      <c r="AZ13" s="153"/>
      <c r="BA13" s="153"/>
      <c r="BB13" s="153"/>
      <c r="BC13" s="153"/>
      <c r="BD13" s="153"/>
      <c r="BE13" s="153"/>
      <c r="BF13" s="153"/>
    </row>
    <row r="14" spans="1:58" x14ac:dyDescent="0.25">
      <c r="B14" s="58" t="s">
        <v>70</v>
      </c>
      <c r="C14" s="231">
        <v>764</v>
      </c>
      <c r="D14" s="231">
        <v>755</v>
      </c>
      <c r="E14" s="139">
        <f t="shared" si="0"/>
        <v>0.98821989528795806</v>
      </c>
      <c r="F14" s="231">
        <v>1016</v>
      </c>
      <c r="G14" s="231">
        <v>1009</v>
      </c>
      <c r="H14" s="139">
        <f t="shared" si="1"/>
        <v>0.99311023622047245</v>
      </c>
      <c r="I14" s="231">
        <v>1202</v>
      </c>
      <c r="J14" s="231">
        <v>1179</v>
      </c>
      <c r="K14" s="139">
        <f t="shared" si="2"/>
        <v>0.98086522462562398</v>
      </c>
      <c r="L14" s="231">
        <f t="shared" si="3"/>
        <v>2982</v>
      </c>
      <c r="M14" s="231">
        <f t="shared" si="4"/>
        <v>2943</v>
      </c>
      <c r="N14" s="139">
        <f t="shared" si="5"/>
        <v>0.98692152917505027</v>
      </c>
      <c r="O14" s="231">
        <v>1120</v>
      </c>
      <c r="P14" s="231">
        <v>1098</v>
      </c>
      <c r="Q14" s="139">
        <f t="shared" si="6"/>
        <v>0.98035714285714282</v>
      </c>
      <c r="R14" s="231">
        <v>2695</v>
      </c>
      <c r="S14" s="231">
        <v>2670</v>
      </c>
      <c r="T14" s="139">
        <f t="shared" si="7"/>
        <v>0.99072356215213353</v>
      </c>
      <c r="U14" s="231">
        <v>2066</v>
      </c>
      <c r="V14" s="231">
        <v>2052</v>
      </c>
      <c r="W14" s="139">
        <f t="shared" si="8"/>
        <v>0.99322362052274926</v>
      </c>
      <c r="X14" s="177">
        <v>10240</v>
      </c>
      <c r="Y14" s="177">
        <v>10102</v>
      </c>
      <c r="Z14" s="83">
        <f t="shared" si="9"/>
        <v>0.98652343750000004</v>
      </c>
      <c r="AA14" s="181"/>
      <c r="AB14" s="181"/>
      <c r="AC14" s="139" t="str">
        <f t="shared" si="10"/>
        <v>-</v>
      </c>
      <c r="AD14" s="181"/>
      <c r="AE14" s="181"/>
      <c r="AF14" s="139" t="str">
        <f t="shared" si="11"/>
        <v>-</v>
      </c>
      <c r="AG14" s="181"/>
      <c r="AH14" s="181"/>
      <c r="AI14" s="139" t="str">
        <f t="shared" si="12"/>
        <v>-</v>
      </c>
      <c r="AJ14" s="181"/>
      <c r="AK14" s="181"/>
      <c r="AL14" s="139" t="str">
        <f t="shared" si="13"/>
        <v>-</v>
      </c>
      <c r="AM14" s="181"/>
      <c r="AN14" s="181"/>
      <c r="AO14" s="139" t="str">
        <f t="shared" si="14"/>
        <v>-</v>
      </c>
      <c r="AP14" s="181"/>
      <c r="AQ14" s="181"/>
      <c r="AR14" s="139" t="str">
        <f t="shared" si="15"/>
        <v>-</v>
      </c>
      <c r="AS14" s="181"/>
      <c r="AT14" s="181"/>
      <c r="AU14" s="139" t="str">
        <f t="shared" si="16"/>
        <v>-</v>
      </c>
      <c r="AV14" s="181"/>
      <c r="AW14" s="181"/>
      <c r="AX14" s="139" t="str">
        <f t="shared" si="17"/>
        <v>-</v>
      </c>
      <c r="AY14" s="153"/>
      <c r="AZ14" s="153"/>
      <c r="BA14" s="153"/>
      <c r="BB14" s="153"/>
      <c r="BC14" s="153"/>
      <c r="BD14" s="153"/>
      <c r="BE14" s="153"/>
      <c r="BF14" s="153"/>
    </row>
    <row r="15" spans="1:58" x14ac:dyDescent="0.25">
      <c r="B15" s="58" t="s">
        <v>178</v>
      </c>
      <c r="C15" s="231"/>
      <c r="D15" s="231"/>
      <c r="E15" s="139"/>
      <c r="F15" s="231"/>
      <c r="G15" s="231"/>
      <c r="H15" s="139"/>
      <c r="I15" s="231"/>
      <c r="J15" s="231"/>
      <c r="K15" s="139"/>
      <c r="L15" s="231"/>
      <c r="M15" s="231"/>
      <c r="N15" s="139"/>
      <c r="O15" s="231"/>
      <c r="P15" s="231"/>
      <c r="Q15" s="139"/>
      <c r="R15" s="231"/>
      <c r="S15" s="231"/>
      <c r="T15" s="139"/>
      <c r="U15" s="231"/>
      <c r="V15" s="231"/>
      <c r="W15" s="139"/>
      <c r="X15" s="177">
        <v>101</v>
      </c>
      <c r="Y15" s="177">
        <v>77</v>
      </c>
      <c r="Z15" s="83">
        <f t="shared" si="9"/>
        <v>0.76237623762376239</v>
      </c>
      <c r="AA15" s="181"/>
      <c r="AB15" s="181"/>
      <c r="AC15" s="139"/>
      <c r="AD15" s="181"/>
      <c r="AE15" s="181"/>
      <c r="AF15" s="139"/>
      <c r="AG15" s="181"/>
      <c r="AH15" s="181"/>
      <c r="AI15" s="139"/>
      <c r="AJ15" s="181"/>
      <c r="AK15" s="181"/>
      <c r="AL15" s="139"/>
      <c r="AM15" s="181"/>
      <c r="AN15" s="181"/>
      <c r="AO15" s="139"/>
      <c r="AP15" s="181"/>
      <c r="AQ15" s="181"/>
      <c r="AR15" s="139"/>
      <c r="AS15" s="181"/>
      <c r="AT15" s="181"/>
      <c r="AU15" s="139"/>
      <c r="AV15" s="181"/>
      <c r="AW15" s="181"/>
      <c r="AX15" s="139"/>
      <c r="AY15" s="153"/>
      <c r="AZ15" s="153"/>
      <c r="BA15" s="153"/>
      <c r="BB15" s="153"/>
      <c r="BC15" s="153"/>
      <c r="BD15" s="153"/>
      <c r="BE15" s="153"/>
      <c r="BF15" s="153"/>
    </row>
    <row r="16" spans="1:58" x14ac:dyDescent="0.25">
      <c r="B16" s="58" t="s">
        <v>120</v>
      </c>
      <c r="C16" s="231">
        <v>26</v>
      </c>
      <c r="D16" s="231">
        <v>26</v>
      </c>
      <c r="E16" s="139">
        <f t="shared" si="0"/>
        <v>1</v>
      </c>
      <c r="F16" s="231">
        <v>13</v>
      </c>
      <c r="G16" s="231">
        <v>12</v>
      </c>
      <c r="H16" s="139">
        <f t="shared" si="1"/>
        <v>0.92307692307692313</v>
      </c>
      <c r="I16" s="231">
        <v>35</v>
      </c>
      <c r="J16" s="231">
        <v>35</v>
      </c>
      <c r="K16" s="139">
        <f t="shared" si="2"/>
        <v>1</v>
      </c>
      <c r="L16" s="231">
        <f t="shared" si="3"/>
        <v>74</v>
      </c>
      <c r="M16" s="231">
        <f t="shared" si="4"/>
        <v>73</v>
      </c>
      <c r="N16" s="139">
        <f t="shared" si="5"/>
        <v>0.98648648648648651</v>
      </c>
      <c r="O16" s="231">
        <v>14</v>
      </c>
      <c r="P16" s="231">
        <v>10</v>
      </c>
      <c r="Q16" s="139">
        <f t="shared" si="6"/>
        <v>0.7142857142857143</v>
      </c>
      <c r="R16" s="231">
        <v>29</v>
      </c>
      <c r="S16" s="231">
        <v>24</v>
      </c>
      <c r="T16" s="139">
        <f t="shared" si="7"/>
        <v>0.82758620689655171</v>
      </c>
      <c r="U16" s="231">
        <v>12</v>
      </c>
      <c r="V16" s="231">
        <v>9</v>
      </c>
      <c r="W16" s="139">
        <f t="shared" si="8"/>
        <v>0.75</v>
      </c>
      <c r="X16" s="177">
        <v>64</v>
      </c>
      <c r="Y16" s="177">
        <v>47</v>
      </c>
      <c r="Z16" s="83">
        <f t="shared" si="9"/>
        <v>0.734375</v>
      </c>
      <c r="AA16" s="181"/>
      <c r="AB16" s="181"/>
      <c r="AC16" s="139" t="str">
        <f t="shared" si="10"/>
        <v>-</v>
      </c>
      <c r="AD16" s="181"/>
      <c r="AE16" s="181"/>
      <c r="AF16" s="139" t="str">
        <f t="shared" si="11"/>
        <v>-</v>
      </c>
      <c r="AG16" s="181"/>
      <c r="AH16" s="181"/>
      <c r="AI16" s="139" t="str">
        <f t="shared" si="12"/>
        <v>-</v>
      </c>
      <c r="AJ16" s="181"/>
      <c r="AK16" s="181"/>
      <c r="AL16" s="139" t="str">
        <f t="shared" si="13"/>
        <v>-</v>
      </c>
      <c r="AM16" s="181"/>
      <c r="AN16" s="181"/>
      <c r="AO16" s="139" t="str">
        <f t="shared" si="14"/>
        <v>-</v>
      </c>
      <c r="AP16" s="181"/>
      <c r="AQ16" s="181"/>
      <c r="AR16" s="139" t="str">
        <f t="shared" si="15"/>
        <v>-</v>
      </c>
      <c r="AS16" s="181"/>
      <c r="AT16" s="181"/>
      <c r="AU16" s="139" t="str">
        <f t="shared" si="16"/>
        <v>-</v>
      </c>
      <c r="AV16" s="181"/>
      <c r="AW16" s="181"/>
      <c r="AX16" s="139" t="str">
        <f t="shared" si="17"/>
        <v>-</v>
      </c>
      <c r="AY16" s="153"/>
      <c r="AZ16" s="153"/>
      <c r="BA16" s="153"/>
      <c r="BB16" s="153"/>
      <c r="BC16" s="153"/>
      <c r="BD16" s="153"/>
      <c r="BE16" s="153"/>
      <c r="BF16" s="153"/>
    </row>
    <row r="17" spans="2:58" x14ac:dyDescent="0.25">
      <c r="B17" s="58" t="s">
        <v>72</v>
      </c>
      <c r="C17" s="231">
        <v>144</v>
      </c>
      <c r="D17" s="231">
        <v>131</v>
      </c>
      <c r="E17" s="139">
        <f t="shared" si="0"/>
        <v>0.90972222222222221</v>
      </c>
      <c r="F17" s="231">
        <v>119</v>
      </c>
      <c r="G17" s="231">
        <v>100</v>
      </c>
      <c r="H17" s="139">
        <f t="shared" si="1"/>
        <v>0.84033613445378152</v>
      </c>
      <c r="I17" s="231">
        <v>150</v>
      </c>
      <c r="J17" s="231">
        <v>133</v>
      </c>
      <c r="K17" s="139">
        <f t="shared" si="2"/>
        <v>0.88666666666666671</v>
      </c>
      <c r="L17" s="231">
        <f t="shared" si="3"/>
        <v>413</v>
      </c>
      <c r="M17" s="231">
        <f t="shared" si="4"/>
        <v>364</v>
      </c>
      <c r="N17" s="139">
        <f t="shared" si="5"/>
        <v>0.88135593220338981</v>
      </c>
      <c r="O17" s="231">
        <v>109</v>
      </c>
      <c r="P17" s="231">
        <v>87</v>
      </c>
      <c r="Q17" s="139">
        <f t="shared" si="6"/>
        <v>0.79816513761467889</v>
      </c>
      <c r="R17" s="231">
        <v>149</v>
      </c>
      <c r="S17" s="231">
        <v>133</v>
      </c>
      <c r="T17" s="139">
        <f t="shared" si="7"/>
        <v>0.89261744966442957</v>
      </c>
      <c r="U17" s="231">
        <v>115</v>
      </c>
      <c r="V17" s="231">
        <v>96</v>
      </c>
      <c r="W17" s="139">
        <f t="shared" si="8"/>
        <v>0.83478260869565213</v>
      </c>
      <c r="X17" s="177">
        <v>398</v>
      </c>
      <c r="Y17" s="177">
        <v>359</v>
      </c>
      <c r="Z17" s="83">
        <f t="shared" si="9"/>
        <v>0.90201005025125625</v>
      </c>
      <c r="AA17" s="181"/>
      <c r="AB17" s="181"/>
      <c r="AC17" s="139" t="str">
        <f t="shared" si="10"/>
        <v>-</v>
      </c>
      <c r="AD17" s="181"/>
      <c r="AE17" s="181"/>
      <c r="AF17" s="139" t="str">
        <f t="shared" si="11"/>
        <v>-</v>
      </c>
      <c r="AG17" s="181"/>
      <c r="AH17" s="181"/>
      <c r="AI17" s="139" t="str">
        <f t="shared" si="12"/>
        <v>-</v>
      </c>
      <c r="AJ17" s="181"/>
      <c r="AK17" s="181"/>
      <c r="AL17" s="139" t="str">
        <f t="shared" si="13"/>
        <v>-</v>
      </c>
      <c r="AM17" s="181"/>
      <c r="AN17" s="181"/>
      <c r="AO17" s="139" t="str">
        <f t="shared" si="14"/>
        <v>-</v>
      </c>
      <c r="AP17" s="181"/>
      <c r="AQ17" s="181"/>
      <c r="AR17" s="139" t="str">
        <f t="shared" si="15"/>
        <v>-</v>
      </c>
      <c r="AS17" s="181"/>
      <c r="AT17" s="181"/>
      <c r="AU17" s="139" t="str">
        <f t="shared" si="16"/>
        <v>-</v>
      </c>
      <c r="AV17" s="181"/>
      <c r="AW17" s="181"/>
      <c r="AX17" s="139" t="str">
        <f t="shared" si="17"/>
        <v>-</v>
      </c>
      <c r="AY17" s="153"/>
      <c r="AZ17" s="153"/>
      <c r="BA17" s="153"/>
      <c r="BB17" s="153"/>
      <c r="BC17" s="153"/>
      <c r="BD17" s="153"/>
      <c r="BE17" s="153"/>
      <c r="BF17" s="153"/>
    </row>
    <row r="18" spans="2:58" x14ac:dyDescent="0.25">
      <c r="B18" s="58" t="s">
        <v>82</v>
      </c>
      <c r="C18" s="231">
        <v>2</v>
      </c>
      <c r="D18" s="231">
        <v>2</v>
      </c>
      <c r="E18" s="139">
        <f t="shared" si="0"/>
        <v>1</v>
      </c>
      <c r="F18" s="231">
        <v>2</v>
      </c>
      <c r="G18" s="231">
        <v>2</v>
      </c>
      <c r="H18" s="139">
        <f t="shared" si="1"/>
        <v>1</v>
      </c>
      <c r="I18" s="231">
        <v>8</v>
      </c>
      <c r="J18" s="231">
        <v>8</v>
      </c>
      <c r="K18" s="139">
        <f t="shared" si="2"/>
        <v>1</v>
      </c>
      <c r="L18" s="231">
        <f t="shared" si="3"/>
        <v>12</v>
      </c>
      <c r="M18" s="231">
        <f t="shared" si="4"/>
        <v>12</v>
      </c>
      <c r="N18" s="139">
        <f t="shared" si="5"/>
        <v>1</v>
      </c>
      <c r="O18" s="231">
        <v>1</v>
      </c>
      <c r="P18" s="231">
        <v>1</v>
      </c>
      <c r="Q18" s="139">
        <f t="shared" si="6"/>
        <v>1</v>
      </c>
      <c r="R18" s="231">
        <v>5</v>
      </c>
      <c r="S18" s="231">
        <v>3</v>
      </c>
      <c r="T18" s="139">
        <f t="shared" si="7"/>
        <v>0.6</v>
      </c>
      <c r="U18" s="231">
        <v>7</v>
      </c>
      <c r="V18" s="231">
        <v>5</v>
      </c>
      <c r="W18" s="139">
        <f t="shared" si="8"/>
        <v>0.7142857142857143</v>
      </c>
      <c r="X18" s="177">
        <v>2</v>
      </c>
      <c r="Y18" s="177">
        <v>2</v>
      </c>
      <c r="Z18" s="83">
        <f t="shared" si="9"/>
        <v>1</v>
      </c>
      <c r="AA18" s="181"/>
      <c r="AB18" s="181"/>
      <c r="AC18" s="139" t="str">
        <f t="shared" si="10"/>
        <v>-</v>
      </c>
      <c r="AD18" s="181"/>
      <c r="AE18" s="181"/>
      <c r="AF18" s="139" t="str">
        <f t="shared" si="11"/>
        <v>-</v>
      </c>
      <c r="AG18" s="181"/>
      <c r="AH18" s="181"/>
      <c r="AI18" s="139" t="str">
        <f t="shared" si="12"/>
        <v>-</v>
      </c>
      <c r="AJ18" s="181"/>
      <c r="AK18" s="181"/>
      <c r="AL18" s="139" t="str">
        <f t="shared" si="13"/>
        <v>-</v>
      </c>
      <c r="AM18" s="181"/>
      <c r="AN18" s="181"/>
      <c r="AO18" s="139" t="str">
        <f t="shared" si="14"/>
        <v>-</v>
      </c>
      <c r="AP18" s="181"/>
      <c r="AQ18" s="181"/>
      <c r="AR18" s="139" t="str">
        <f t="shared" si="15"/>
        <v>-</v>
      </c>
      <c r="AS18" s="181"/>
      <c r="AT18" s="181"/>
      <c r="AU18" s="139" t="str">
        <f t="shared" si="16"/>
        <v>-</v>
      </c>
      <c r="AV18" s="181"/>
      <c r="AW18" s="181"/>
      <c r="AX18" s="139" t="str">
        <f t="shared" si="17"/>
        <v>-</v>
      </c>
      <c r="AY18" s="153"/>
      <c r="AZ18" s="153"/>
      <c r="BA18" s="153"/>
      <c r="BB18" s="153"/>
      <c r="BC18" s="153"/>
      <c r="BD18" s="153"/>
      <c r="BE18" s="153"/>
      <c r="BF18" s="153"/>
    </row>
    <row r="19" spans="2:58" x14ac:dyDescent="0.25">
      <c r="B19" s="58" t="s">
        <v>179</v>
      </c>
      <c r="C19" s="231"/>
      <c r="D19" s="231"/>
      <c r="E19" s="139"/>
      <c r="F19" s="231"/>
      <c r="G19" s="231"/>
      <c r="H19" s="139"/>
      <c r="I19" s="231"/>
      <c r="J19" s="231"/>
      <c r="K19" s="139"/>
      <c r="L19" s="231"/>
      <c r="M19" s="231"/>
      <c r="N19" s="139"/>
      <c r="O19" s="231"/>
      <c r="P19" s="231"/>
      <c r="Q19" s="139"/>
      <c r="R19" s="231"/>
      <c r="S19" s="231"/>
      <c r="T19" s="139"/>
      <c r="U19" s="231"/>
      <c r="V19" s="231"/>
      <c r="W19" s="139"/>
      <c r="X19" s="177">
        <v>0</v>
      </c>
      <c r="Y19" s="177">
        <v>0</v>
      </c>
      <c r="Z19" s="83" t="str">
        <f t="shared" si="9"/>
        <v>-</v>
      </c>
      <c r="AA19" s="181"/>
      <c r="AB19" s="181"/>
      <c r="AC19" s="139"/>
      <c r="AD19" s="181"/>
      <c r="AE19" s="181"/>
      <c r="AF19" s="139"/>
      <c r="AG19" s="181"/>
      <c r="AH19" s="181"/>
      <c r="AI19" s="139"/>
      <c r="AJ19" s="181"/>
      <c r="AK19" s="181"/>
      <c r="AL19" s="139"/>
      <c r="AM19" s="181"/>
      <c r="AN19" s="181"/>
      <c r="AO19" s="139"/>
      <c r="AP19" s="181"/>
      <c r="AQ19" s="181"/>
      <c r="AR19" s="139"/>
      <c r="AS19" s="181"/>
      <c r="AT19" s="181"/>
      <c r="AU19" s="139"/>
      <c r="AV19" s="181"/>
      <c r="AW19" s="181"/>
      <c r="AX19" s="139"/>
      <c r="AY19" s="153"/>
      <c r="AZ19" s="153"/>
      <c r="BA19" s="153"/>
      <c r="BB19" s="153"/>
      <c r="BC19" s="153"/>
      <c r="BD19" s="153"/>
      <c r="BE19" s="153"/>
      <c r="BF19" s="153"/>
    </row>
    <row r="20" spans="2:58" x14ac:dyDescent="0.25">
      <c r="B20" s="58" t="s">
        <v>83</v>
      </c>
      <c r="C20" s="231">
        <v>0</v>
      </c>
      <c r="D20" s="231">
        <v>0</v>
      </c>
      <c r="E20" s="139" t="str">
        <f t="shared" si="0"/>
        <v>-</v>
      </c>
      <c r="F20" s="231">
        <v>3</v>
      </c>
      <c r="G20" s="231">
        <v>3</v>
      </c>
      <c r="H20" s="139">
        <f t="shared" si="1"/>
        <v>1</v>
      </c>
      <c r="I20" s="231">
        <v>6</v>
      </c>
      <c r="J20" s="231">
        <v>5</v>
      </c>
      <c r="K20" s="139">
        <f t="shared" si="2"/>
        <v>0.83333333333333337</v>
      </c>
      <c r="L20" s="231">
        <f t="shared" si="3"/>
        <v>9</v>
      </c>
      <c r="M20" s="231">
        <f t="shared" si="4"/>
        <v>8</v>
      </c>
      <c r="N20" s="139">
        <f t="shared" si="5"/>
        <v>0.88888888888888884</v>
      </c>
      <c r="O20" s="231">
        <v>4</v>
      </c>
      <c r="P20" s="231">
        <v>4</v>
      </c>
      <c r="Q20" s="139">
        <f t="shared" si="6"/>
        <v>1</v>
      </c>
      <c r="R20" s="231">
        <v>5</v>
      </c>
      <c r="S20" s="231">
        <v>5</v>
      </c>
      <c r="T20" s="139">
        <f t="shared" si="7"/>
        <v>1</v>
      </c>
      <c r="U20" s="231">
        <v>7</v>
      </c>
      <c r="V20" s="231">
        <v>6</v>
      </c>
      <c r="W20" s="139">
        <f t="shared" si="8"/>
        <v>0.8571428571428571</v>
      </c>
      <c r="X20" s="157">
        <v>25</v>
      </c>
      <c r="Y20" s="157">
        <v>21</v>
      </c>
      <c r="Z20" s="83">
        <f>IFERROR(Y20/X20,"-")</f>
        <v>0.84</v>
      </c>
      <c r="AA20" s="181"/>
      <c r="AB20" s="181"/>
      <c r="AC20" s="139"/>
      <c r="AD20" s="181"/>
      <c r="AE20" s="181"/>
      <c r="AF20" s="139"/>
      <c r="AG20" s="181"/>
      <c r="AH20" s="181"/>
      <c r="AI20" s="139"/>
      <c r="AJ20" s="181"/>
      <c r="AK20" s="181"/>
      <c r="AL20" s="139"/>
      <c r="AM20" s="181"/>
      <c r="AN20" s="181"/>
      <c r="AO20" s="139"/>
      <c r="AP20" s="181"/>
      <c r="AQ20" s="181"/>
      <c r="AR20" s="139"/>
      <c r="AS20" s="181"/>
      <c r="AT20" s="181"/>
      <c r="AU20" s="139"/>
      <c r="AV20" s="181"/>
      <c r="AW20" s="181"/>
      <c r="AX20" s="139"/>
      <c r="AY20" s="153"/>
      <c r="AZ20" s="153"/>
      <c r="BA20" s="153"/>
      <c r="BB20" s="153"/>
      <c r="BC20" s="153"/>
      <c r="BD20" s="153"/>
      <c r="BE20" s="153"/>
      <c r="BF20" s="153"/>
    </row>
    <row r="21" spans="2:58" x14ac:dyDescent="0.25">
      <c r="B21" s="58" t="s">
        <v>73</v>
      </c>
      <c r="C21" s="231">
        <v>16</v>
      </c>
      <c r="D21" s="231">
        <v>15</v>
      </c>
      <c r="E21" s="139">
        <f t="shared" si="0"/>
        <v>0.9375</v>
      </c>
      <c r="F21" s="231">
        <v>10</v>
      </c>
      <c r="G21" s="231">
        <v>7</v>
      </c>
      <c r="H21" s="139">
        <f t="shared" ref="H21:H30" si="18">IFERROR(G21/F21,"-")</f>
        <v>0.7</v>
      </c>
      <c r="I21" s="231">
        <v>32</v>
      </c>
      <c r="J21" s="231">
        <v>29</v>
      </c>
      <c r="K21" s="139">
        <f t="shared" ref="K21:K30" si="19">IFERROR(J21/I21,"-")</f>
        <v>0.90625</v>
      </c>
      <c r="L21" s="231">
        <f t="shared" si="3"/>
        <v>58</v>
      </c>
      <c r="M21" s="231">
        <f t="shared" si="4"/>
        <v>51</v>
      </c>
      <c r="N21" s="139">
        <f t="shared" si="5"/>
        <v>0.87931034482758619</v>
      </c>
      <c r="O21" s="231">
        <v>18</v>
      </c>
      <c r="P21" s="231">
        <v>17</v>
      </c>
      <c r="Q21" s="139">
        <f t="shared" ref="Q21:Q30" si="20">IFERROR(P21/O21,"-")</f>
        <v>0.94444444444444442</v>
      </c>
      <c r="R21" s="231">
        <v>17</v>
      </c>
      <c r="S21" s="231">
        <v>15</v>
      </c>
      <c r="T21" s="139">
        <f t="shared" ref="T21:T30" si="21">IFERROR(S21/R21,"-")</f>
        <v>0.88235294117647056</v>
      </c>
      <c r="U21" s="231">
        <v>456</v>
      </c>
      <c r="V21" s="231">
        <v>376</v>
      </c>
      <c r="W21" s="139">
        <f t="shared" ref="W21:W30" si="22">IFERROR(V21/U21,"-")</f>
        <v>0.82456140350877194</v>
      </c>
      <c r="X21" s="177">
        <v>281</v>
      </c>
      <c r="Y21" s="177">
        <v>259</v>
      </c>
      <c r="Z21" s="83">
        <f t="shared" si="9"/>
        <v>0.92170818505338081</v>
      </c>
      <c r="AA21" s="181"/>
      <c r="AB21" s="181"/>
      <c r="AC21" s="139" t="str">
        <f t="shared" ref="AC21:AC30" si="23">IFERROR(AB21/AA21,"-")</f>
        <v>-</v>
      </c>
      <c r="AD21" s="181"/>
      <c r="AE21" s="181"/>
      <c r="AF21" s="139" t="str">
        <f t="shared" ref="AF21:AF30" si="24">IFERROR(AE21/AD21,"-")</f>
        <v>-</v>
      </c>
      <c r="AG21" s="181"/>
      <c r="AH21" s="181"/>
      <c r="AI21" s="139" t="str">
        <f t="shared" ref="AI21:AI30" si="25">IFERROR(AH21/AG21,"-")</f>
        <v>-</v>
      </c>
      <c r="AJ21" s="181"/>
      <c r="AK21" s="181"/>
      <c r="AL21" s="139" t="str">
        <f t="shared" ref="AL21:AL30" si="26">IFERROR(AK21/AJ21,"-")</f>
        <v>-</v>
      </c>
      <c r="AM21" s="181"/>
      <c r="AN21" s="181"/>
      <c r="AO21" s="139" t="str">
        <f t="shared" ref="AO21:AO30" si="27">IFERROR(AN21/AM21,"-")</f>
        <v>-</v>
      </c>
      <c r="AP21" s="181"/>
      <c r="AQ21" s="181"/>
      <c r="AR21" s="139" t="str">
        <f t="shared" ref="AR21:AR30" si="28">IFERROR(AQ21/AP21,"-")</f>
        <v>-</v>
      </c>
      <c r="AS21" s="181"/>
      <c r="AT21" s="181"/>
      <c r="AU21" s="139" t="str">
        <f t="shared" ref="AU21:AU30" si="29">IFERROR(AT21/AS21,"-")</f>
        <v>-</v>
      </c>
      <c r="AV21" s="181"/>
      <c r="AW21" s="181"/>
      <c r="AX21" s="139" t="str">
        <f t="shared" ref="AX21:AX30" si="30">IFERROR(AW21/AV21,"-")</f>
        <v>-</v>
      </c>
      <c r="AY21" s="153"/>
      <c r="AZ21" s="153"/>
      <c r="BA21" s="153"/>
      <c r="BB21" s="153"/>
      <c r="BC21" s="153"/>
      <c r="BD21" s="153"/>
      <c r="BE21" s="153"/>
      <c r="BF21" s="153"/>
    </row>
    <row r="22" spans="2:58" x14ac:dyDescent="0.25">
      <c r="B22" s="58" t="s">
        <v>74</v>
      </c>
      <c r="C22" s="231">
        <v>17</v>
      </c>
      <c r="D22" s="231">
        <v>17</v>
      </c>
      <c r="E22" s="139">
        <f t="shared" si="0"/>
        <v>1</v>
      </c>
      <c r="F22" s="231">
        <v>9</v>
      </c>
      <c r="G22" s="231">
        <v>9</v>
      </c>
      <c r="H22" s="139">
        <f t="shared" si="18"/>
        <v>1</v>
      </c>
      <c r="I22" s="231">
        <v>10</v>
      </c>
      <c r="J22" s="231">
        <v>10</v>
      </c>
      <c r="K22" s="139">
        <f t="shared" si="19"/>
        <v>1</v>
      </c>
      <c r="L22" s="231">
        <f t="shared" si="3"/>
        <v>36</v>
      </c>
      <c r="M22" s="231">
        <f t="shared" si="4"/>
        <v>36</v>
      </c>
      <c r="N22" s="139">
        <f t="shared" si="5"/>
        <v>1</v>
      </c>
      <c r="O22" s="231">
        <v>9</v>
      </c>
      <c r="P22" s="231">
        <v>8</v>
      </c>
      <c r="Q22" s="139">
        <f t="shared" si="20"/>
        <v>0.88888888888888884</v>
      </c>
      <c r="R22" s="231">
        <v>7</v>
      </c>
      <c r="S22" s="231">
        <v>7</v>
      </c>
      <c r="T22" s="139">
        <f t="shared" si="21"/>
        <v>1</v>
      </c>
      <c r="U22" s="231">
        <v>10</v>
      </c>
      <c r="V22" s="231">
        <v>9</v>
      </c>
      <c r="W22" s="139">
        <f t="shared" si="22"/>
        <v>0.9</v>
      </c>
      <c r="X22" s="177">
        <v>225</v>
      </c>
      <c r="Y22" s="177">
        <v>221</v>
      </c>
      <c r="Z22" s="83">
        <f t="shared" ref="Z22:Z28" si="31">IFERROR(Y22/X22,"-")</f>
        <v>0.98222222222222222</v>
      </c>
      <c r="AA22" s="181"/>
      <c r="AB22" s="181"/>
      <c r="AC22" s="139" t="str">
        <f t="shared" si="23"/>
        <v>-</v>
      </c>
      <c r="AD22" s="181"/>
      <c r="AE22" s="181"/>
      <c r="AF22" s="139" t="str">
        <f t="shared" si="24"/>
        <v>-</v>
      </c>
      <c r="AG22" s="181"/>
      <c r="AH22" s="181"/>
      <c r="AI22" s="139" t="str">
        <f t="shared" si="25"/>
        <v>-</v>
      </c>
      <c r="AJ22" s="181"/>
      <c r="AK22" s="181"/>
      <c r="AL22" s="139" t="str">
        <f t="shared" si="26"/>
        <v>-</v>
      </c>
      <c r="AM22" s="181"/>
      <c r="AN22" s="181"/>
      <c r="AO22" s="139" t="str">
        <f t="shared" si="27"/>
        <v>-</v>
      </c>
      <c r="AP22" s="181"/>
      <c r="AQ22" s="181"/>
      <c r="AR22" s="139" t="str">
        <f t="shared" si="28"/>
        <v>-</v>
      </c>
      <c r="AS22" s="181"/>
      <c r="AT22" s="181"/>
      <c r="AU22" s="139" t="str">
        <f t="shared" si="29"/>
        <v>-</v>
      </c>
      <c r="AV22" s="181"/>
      <c r="AW22" s="181"/>
      <c r="AX22" s="139" t="str">
        <f t="shared" si="30"/>
        <v>-</v>
      </c>
      <c r="AY22" s="153"/>
      <c r="AZ22" s="153"/>
      <c r="BA22" s="153"/>
      <c r="BB22" s="153"/>
      <c r="BC22" s="153"/>
      <c r="BD22" s="153"/>
      <c r="BE22" s="153"/>
      <c r="BF22" s="153"/>
    </row>
    <row r="23" spans="2:58" x14ac:dyDescent="0.25">
      <c r="B23" s="58" t="s">
        <v>146</v>
      </c>
      <c r="C23" s="231"/>
      <c r="D23" s="231"/>
      <c r="E23" s="139"/>
      <c r="F23" s="231"/>
      <c r="G23" s="231"/>
      <c r="H23" s="139"/>
      <c r="I23" s="231"/>
      <c r="J23" s="231"/>
      <c r="K23" s="139"/>
      <c r="L23" s="231"/>
      <c r="M23" s="231"/>
      <c r="N23" s="139"/>
      <c r="O23" s="231"/>
      <c r="P23" s="231"/>
      <c r="Q23" s="139"/>
      <c r="R23" s="231"/>
      <c r="S23" s="231"/>
      <c r="T23" s="139"/>
      <c r="U23" s="231"/>
      <c r="V23" s="231"/>
      <c r="W23" s="139"/>
      <c r="X23" s="177">
        <v>1108</v>
      </c>
      <c r="Y23" s="177">
        <v>1037</v>
      </c>
      <c r="Z23" s="83">
        <f t="shared" si="31"/>
        <v>0.9359205776173285</v>
      </c>
      <c r="AA23" s="181"/>
      <c r="AB23" s="181"/>
      <c r="AC23" s="139"/>
      <c r="AD23" s="181"/>
      <c r="AE23" s="181"/>
      <c r="AF23" s="139"/>
      <c r="AG23" s="181"/>
      <c r="AH23" s="181"/>
      <c r="AI23" s="139"/>
      <c r="AJ23" s="181"/>
      <c r="AK23" s="181"/>
      <c r="AL23" s="139"/>
      <c r="AM23" s="181"/>
      <c r="AN23" s="181"/>
      <c r="AO23" s="139"/>
      <c r="AP23" s="181"/>
      <c r="AQ23" s="181"/>
      <c r="AR23" s="139"/>
      <c r="AS23" s="181"/>
      <c r="AT23" s="181"/>
      <c r="AU23" s="139"/>
      <c r="AV23" s="181"/>
      <c r="AW23" s="181"/>
      <c r="AX23" s="139"/>
      <c r="AY23" s="153"/>
      <c r="AZ23" s="153"/>
      <c r="BA23" s="153"/>
      <c r="BB23" s="153"/>
      <c r="BC23" s="153"/>
      <c r="BD23" s="153"/>
      <c r="BE23" s="153"/>
      <c r="BF23" s="153"/>
    </row>
    <row r="24" spans="2:58" x14ac:dyDescent="0.25">
      <c r="B24" s="58" t="s">
        <v>75</v>
      </c>
      <c r="C24" s="231">
        <v>4</v>
      </c>
      <c r="D24" s="231">
        <v>4</v>
      </c>
      <c r="E24" s="139">
        <f t="shared" si="0"/>
        <v>1</v>
      </c>
      <c r="F24" s="231">
        <v>2</v>
      </c>
      <c r="G24" s="231">
        <v>1</v>
      </c>
      <c r="H24" s="139">
        <f t="shared" si="18"/>
        <v>0.5</v>
      </c>
      <c r="I24" s="231">
        <v>3</v>
      </c>
      <c r="J24" s="231">
        <v>3</v>
      </c>
      <c r="K24" s="139">
        <f t="shared" si="19"/>
        <v>1</v>
      </c>
      <c r="L24" s="231">
        <f t="shared" si="3"/>
        <v>9</v>
      </c>
      <c r="M24" s="231">
        <f t="shared" si="4"/>
        <v>8</v>
      </c>
      <c r="N24" s="139">
        <f t="shared" si="5"/>
        <v>0.88888888888888884</v>
      </c>
      <c r="O24" s="231">
        <v>16</v>
      </c>
      <c r="P24" s="231">
        <v>16</v>
      </c>
      <c r="Q24" s="139">
        <f t="shared" si="20"/>
        <v>1</v>
      </c>
      <c r="R24" s="231">
        <v>1</v>
      </c>
      <c r="S24" s="231">
        <v>1</v>
      </c>
      <c r="T24" s="139">
        <f t="shared" si="21"/>
        <v>1</v>
      </c>
      <c r="U24" s="231">
        <v>3</v>
      </c>
      <c r="V24" s="231">
        <v>3</v>
      </c>
      <c r="W24" s="139">
        <f t="shared" si="22"/>
        <v>1</v>
      </c>
      <c r="X24" s="177">
        <v>9</v>
      </c>
      <c r="Y24" s="177">
        <v>9</v>
      </c>
      <c r="Z24" s="83">
        <f t="shared" si="31"/>
        <v>1</v>
      </c>
      <c r="AA24" s="181"/>
      <c r="AB24" s="181"/>
      <c r="AC24" s="139" t="str">
        <f t="shared" si="23"/>
        <v>-</v>
      </c>
      <c r="AD24" s="181"/>
      <c r="AE24" s="181"/>
      <c r="AF24" s="139" t="str">
        <f t="shared" si="24"/>
        <v>-</v>
      </c>
      <c r="AG24" s="181"/>
      <c r="AH24" s="181"/>
      <c r="AI24" s="139" t="str">
        <f t="shared" si="25"/>
        <v>-</v>
      </c>
      <c r="AJ24" s="181"/>
      <c r="AK24" s="181"/>
      <c r="AL24" s="139" t="str">
        <f t="shared" si="26"/>
        <v>-</v>
      </c>
      <c r="AM24" s="181"/>
      <c r="AN24" s="181"/>
      <c r="AO24" s="139" t="str">
        <f t="shared" si="27"/>
        <v>-</v>
      </c>
      <c r="AP24" s="181"/>
      <c r="AQ24" s="181"/>
      <c r="AR24" s="139" t="str">
        <f t="shared" si="28"/>
        <v>-</v>
      </c>
      <c r="AS24" s="181"/>
      <c r="AT24" s="181"/>
      <c r="AU24" s="139" t="str">
        <f t="shared" si="29"/>
        <v>-</v>
      </c>
      <c r="AV24" s="181"/>
      <c r="AW24" s="181"/>
      <c r="AX24" s="139" t="str">
        <f t="shared" si="30"/>
        <v>-</v>
      </c>
      <c r="AY24" s="153"/>
      <c r="AZ24" s="153"/>
      <c r="BA24" s="153"/>
      <c r="BB24" s="153"/>
      <c r="BC24" s="153"/>
      <c r="BD24" s="153"/>
      <c r="BE24" s="153"/>
      <c r="BF24" s="153"/>
    </row>
    <row r="25" spans="2:58" x14ac:dyDescent="0.25">
      <c r="B25" s="58" t="s">
        <v>76</v>
      </c>
      <c r="C25" s="231">
        <v>75</v>
      </c>
      <c r="D25" s="231">
        <v>75</v>
      </c>
      <c r="E25" s="139">
        <f t="shared" si="0"/>
        <v>1</v>
      </c>
      <c r="F25" s="231">
        <v>102</v>
      </c>
      <c r="G25" s="231">
        <v>85</v>
      </c>
      <c r="H25" s="139">
        <f t="shared" si="18"/>
        <v>0.83333333333333337</v>
      </c>
      <c r="I25" s="231">
        <v>126</v>
      </c>
      <c r="J25" s="231">
        <v>126</v>
      </c>
      <c r="K25" s="139">
        <f t="shared" si="19"/>
        <v>1</v>
      </c>
      <c r="L25" s="231">
        <f t="shared" si="3"/>
        <v>303</v>
      </c>
      <c r="M25" s="231">
        <f t="shared" si="4"/>
        <v>286</v>
      </c>
      <c r="N25" s="139">
        <f t="shared" si="5"/>
        <v>0.94389438943894388</v>
      </c>
      <c r="O25" s="231">
        <v>167</v>
      </c>
      <c r="P25" s="231">
        <v>138</v>
      </c>
      <c r="Q25" s="139">
        <f t="shared" si="20"/>
        <v>0.82634730538922152</v>
      </c>
      <c r="R25" s="231">
        <v>5726</v>
      </c>
      <c r="S25" s="231">
        <v>4742</v>
      </c>
      <c r="T25" s="139">
        <f t="shared" si="21"/>
        <v>0.82815228780998951</v>
      </c>
      <c r="U25" s="231">
        <v>557</v>
      </c>
      <c r="V25" s="231">
        <v>548</v>
      </c>
      <c r="W25" s="139">
        <f t="shared" si="22"/>
        <v>0.98384201077199285</v>
      </c>
      <c r="X25" s="177">
        <v>286</v>
      </c>
      <c r="Y25" s="177">
        <v>256</v>
      </c>
      <c r="Z25" s="83">
        <f t="shared" si="31"/>
        <v>0.8951048951048951</v>
      </c>
      <c r="AA25" s="181"/>
      <c r="AB25" s="181"/>
      <c r="AC25" s="139" t="str">
        <f t="shared" si="23"/>
        <v>-</v>
      </c>
      <c r="AD25" s="181"/>
      <c r="AE25" s="181"/>
      <c r="AF25" s="139" t="str">
        <f t="shared" si="24"/>
        <v>-</v>
      </c>
      <c r="AG25" s="181"/>
      <c r="AH25" s="181"/>
      <c r="AI25" s="139" t="str">
        <f t="shared" si="25"/>
        <v>-</v>
      </c>
      <c r="AJ25" s="181"/>
      <c r="AK25" s="181"/>
      <c r="AL25" s="139" t="str">
        <f t="shared" si="26"/>
        <v>-</v>
      </c>
      <c r="AM25" s="181"/>
      <c r="AN25" s="181"/>
      <c r="AO25" s="139" t="str">
        <f t="shared" si="27"/>
        <v>-</v>
      </c>
      <c r="AP25" s="181"/>
      <c r="AQ25" s="181"/>
      <c r="AR25" s="139" t="str">
        <f t="shared" si="28"/>
        <v>-</v>
      </c>
      <c r="AS25" s="181"/>
      <c r="AT25" s="181"/>
      <c r="AU25" s="139" t="str">
        <f t="shared" si="29"/>
        <v>-</v>
      </c>
      <c r="AV25" s="181"/>
      <c r="AW25" s="181"/>
      <c r="AX25" s="139" t="str">
        <f t="shared" si="30"/>
        <v>-</v>
      </c>
      <c r="AY25" s="153"/>
      <c r="AZ25" s="153"/>
      <c r="BA25" s="153"/>
      <c r="BB25" s="153"/>
      <c r="BC25" s="153"/>
      <c r="BD25" s="153"/>
      <c r="BE25" s="153"/>
      <c r="BF25" s="153"/>
    </row>
    <row r="26" spans="2:58" x14ac:dyDescent="0.25">
      <c r="B26" s="58" t="s">
        <v>77</v>
      </c>
      <c r="C26" s="231">
        <v>745</v>
      </c>
      <c r="D26" s="231">
        <v>734</v>
      </c>
      <c r="E26" s="139">
        <f t="shared" si="0"/>
        <v>0.9852348993288591</v>
      </c>
      <c r="F26" s="231">
        <v>1061</v>
      </c>
      <c r="G26" s="231">
        <v>1001</v>
      </c>
      <c r="H26" s="139">
        <f t="shared" si="18"/>
        <v>0.94344957587181899</v>
      </c>
      <c r="I26" s="231">
        <v>704</v>
      </c>
      <c r="J26" s="231">
        <v>702</v>
      </c>
      <c r="K26" s="139">
        <f t="shared" si="19"/>
        <v>0.99715909090909094</v>
      </c>
      <c r="L26" s="231">
        <f t="shared" si="3"/>
        <v>2510</v>
      </c>
      <c r="M26" s="231">
        <f t="shared" si="4"/>
        <v>2437</v>
      </c>
      <c r="N26" s="139">
        <f t="shared" si="5"/>
        <v>0.97091633466135463</v>
      </c>
      <c r="O26" s="231">
        <v>289</v>
      </c>
      <c r="P26" s="231">
        <v>268</v>
      </c>
      <c r="Q26" s="139">
        <f t="shared" si="20"/>
        <v>0.9273356401384083</v>
      </c>
      <c r="R26" s="231">
        <v>185</v>
      </c>
      <c r="S26" s="231">
        <v>176</v>
      </c>
      <c r="T26" s="139">
        <f t="shared" si="21"/>
        <v>0.9513513513513514</v>
      </c>
      <c r="U26" s="231">
        <v>111</v>
      </c>
      <c r="V26" s="231">
        <v>104</v>
      </c>
      <c r="W26" s="139">
        <f t="shared" si="22"/>
        <v>0.93693693693693691</v>
      </c>
      <c r="X26" s="177">
        <v>2043</v>
      </c>
      <c r="Y26" s="177">
        <v>1867</v>
      </c>
      <c r="Z26" s="83">
        <f t="shared" si="31"/>
        <v>0.91385217816935882</v>
      </c>
      <c r="AA26" s="181"/>
      <c r="AB26" s="181"/>
      <c r="AC26" s="139" t="str">
        <f t="shared" si="23"/>
        <v>-</v>
      </c>
      <c r="AD26" s="181"/>
      <c r="AE26" s="181"/>
      <c r="AF26" s="139" t="str">
        <f t="shared" si="24"/>
        <v>-</v>
      </c>
      <c r="AG26" s="181"/>
      <c r="AH26" s="181"/>
      <c r="AI26" s="139" t="str">
        <f t="shared" si="25"/>
        <v>-</v>
      </c>
      <c r="AJ26" s="181"/>
      <c r="AK26" s="181"/>
      <c r="AL26" s="139" t="str">
        <f t="shared" si="26"/>
        <v>-</v>
      </c>
      <c r="AM26" s="181"/>
      <c r="AN26" s="181"/>
      <c r="AO26" s="139" t="str">
        <f t="shared" si="27"/>
        <v>-</v>
      </c>
      <c r="AP26" s="181"/>
      <c r="AQ26" s="181"/>
      <c r="AR26" s="139" t="str">
        <f t="shared" si="28"/>
        <v>-</v>
      </c>
      <c r="AS26" s="181"/>
      <c r="AT26" s="181"/>
      <c r="AU26" s="139" t="str">
        <f t="shared" si="29"/>
        <v>-</v>
      </c>
      <c r="AV26" s="181"/>
      <c r="AW26" s="181"/>
      <c r="AX26" s="139" t="str">
        <f t="shared" si="30"/>
        <v>-</v>
      </c>
      <c r="AY26" s="153"/>
      <c r="AZ26" s="153"/>
      <c r="BA26" s="153"/>
      <c r="BB26" s="153"/>
      <c r="BC26" s="153"/>
      <c r="BD26" s="153"/>
      <c r="BE26" s="153"/>
      <c r="BF26" s="153"/>
    </row>
    <row r="27" spans="2:58" x14ac:dyDescent="0.25">
      <c r="B27" s="58" t="s">
        <v>78</v>
      </c>
      <c r="C27" s="231">
        <v>133</v>
      </c>
      <c r="D27" s="231">
        <v>129</v>
      </c>
      <c r="E27" s="139">
        <f t="shared" si="0"/>
        <v>0.96992481203007519</v>
      </c>
      <c r="F27" s="231">
        <v>138</v>
      </c>
      <c r="G27" s="231">
        <v>114</v>
      </c>
      <c r="H27" s="139">
        <f t="shared" si="18"/>
        <v>0.82608695652173914</v>
      </c>
      <c r="I27" s="231">
        <v>146</v>
      </c>
      <c r="J27" s="231">
        <v>130</v>
      </c>
      <c r="K27" s="139">
        <f t="shared" si="19"/>
        <v>0.8904109589041096</v>
      </c>
      <c r="L27" s="231">
        <f t="shared" si="3"/>
        <v>417</v>
      </c>
      <c r="M27" s="231">
        <f t="shared" si="4"/>
        <v>373</v>
      </c>
      <c r="N27" s="139">
        <f t="shared" si="5"/>
        <v>0.89448441247002397</v>
      </c>
      <c r="O27" s="231">
        <v>164</v>
      </c>
      <c r="P27" s="231">
        <v>153</v>
      </c>
      <c r="Q27" s="139">
        <f t="shared" si="20"/>
        <v>0.93292682926829273</v>
      </c>
      <c r="R27" s="231">
        <v>170</v>
      </c>
      <c r="S27" s="231">
        <v>143</v>
      </c>
      <c r="T27" s="139">
        <f t="shared" si="21"/>
        <v>0.8411764705882353</v>
      </c>
      <c r="U27" s="231">
        <v>146</v>
      </c>
      <c r="V27" s="231">
        <v>123</v>
      </c>
      <c r="W27" s="139">
        <f t="shared" si="22"/>
        <v>0.84246575342465757</v>
      </c>
      <c r="X27" s="177">
        <v>759</v>
      </c>
      <c r="Y27" s="177">
        <v>638</v>
      </c>
      <c r="Z27" s="83">
        <f t="shared" si="31"/>
        <v>0.84057971014492749</v>
      </c>
      <c r="AA27" s="181"/>
      <c r="AB27" s="181"/>
      <c r="AC27" s="139" t="str">
        <f t="shared" si="23"/>
        <v>-</v>
      </c>
      <c r="AD27" s="181"/>
      <c r="AE27" s="181"/>
      <c r="AF27" s="139" t="str">
        <f t="shared" si="24"/>
        <v>-</v>
      </c>
      <c r="AG27" s="181"/>
      <c r="AH27" s="181"/>
      <c r="AI27" s="139" t="str">
        <f t="shared" si="25"/>
        <v>-</v>
      </c>
      <c r="AJ27" s="181"/>
      <c r="AK27" s="181"/>
      <c r="AL27" s="139" t="str">
        <f t="shared" si="26"/>
        <v>-</v>
      </c>
      <c r="AM27" s="181"/>
      <c r="AN27" s="181"/>
      <c r="AO27" s="139" t="str">
        <f t="shared" si="27"/>
        <v>-</v>
      </c>
      <c r="AP27" s="181"/>
      <c r="AQ27" s="181"/>
      <c r="AR27" s="139" t="str">
        <f t="shared" si="28"/>
        <v>-</v>
      </c>
      <c r="AS27" s="181"/>
      <c r="AT27" s="181"/>
      <c r="AU27" s="139" t="str">
        <f t="shared" si="29"/>
        <v>-</v>
      </c>
      <c r="AV27" s="181"/>
      <c r="AW27" s="181"/>
      <c r="AX27" s="139" t="str">
        <f t="shared" si="30"/>
        <v>-</v>
      </c>
      <c r="AY27" s="153"/>
      <c r="AZ27" s="153"/>
      <c r="BA27" s="153"/>
      <c r="BB27" s="153"/>
      <c r="BC27" s="153"/>
      <c r="BD27" s="153"/>
      <c r="BE27" s="153"/>
      <c r="BF27" s="153"/>
    </row>
    <row r="28" spans="2:58" x14ac:dyDescent="0.25">
      <c r="B28" s="58" t="s">
        <v>79</v>
      </c>
      <c r="C28" s="231">
        <v>25</v>
      </c>
      <c r="D28" s="231">
        <v>25</v>
      </c>
      <c r="E28" s="139">
        <f t="shared" si="0"/>
        <v>1</v>
      </c>
      <c r="F28" s="231">
        <v>36</v>
      </c>
      <c r="G28" s="231">
        <v>30</v>
      </c>
      <c r="H28" s="139">
        <f t="shared" si="18"/>
        <v>0.83333333333333337</v>
      </c>
      <c r="I28" s="231">
        <v>50</v>
      </c>
      <c r="J28" s="231">
        <v>48</v>
      </c>
      <c r="K28" s="139">
        <f t="shared" si="19"/>
        <v>0.96</v>
      </c>
      <c r="L28" s="231">
        <f t="shared" si="3"/>
        <v>111</v>
      </c>
      <c r="M28" s="231">
        <f t="shared" si="4"/>
        <v>103</v>
      </c>
      <c r="N28" s="139">
        <f t="shared" si="5"/>
        <v>0.92792792792792789</v>
      </c>
      <c r="O28" s="231">
        <v>44</v>
      </c>
      <c r="P28" s="231">
        <v>42</v>
      </c>
      <c r="Q28" s="139">
        <f t="shared" si="20"/>
        <v>0.95454545454545459</v>
      </c>
      <c r="R28" s="231">
        <v>50</v>
      </c>
      <c r="S28" s="231">
        <v>42</v>
      </c>
      <c r="T28" s="139">
        <f t="shared" si="21"/>
        <v>0.84</v>
      </c>
      <c r="U28" s="231">
        <v>29</v>
      </c>
      <c r="V28" s="231">
        <v>27</v>
      </c>
      <c r="W28" s="139">
        <f t="shared" si="22"/>
        <v>0.93103448275862066</v>
      </c>
      <c r="X28" s="177">
        <v>101</v>
      </c>
      <c r="Y28" s="177">
        <v>94</v>
      </c>
      <c r="Z28" s="83">
        <f t="shared" si="31"/>
        <v>0.93069306930693074</v>
      </c>
      <c r="AA28" s="181"/>
      <c r="AB28" s="181"/>
      <c r="AC28" s="139" t="str">
        <f t="shared" si="23"/>
        <v>-</v>
      </c>
      <c r="AD28" s="181"/>
      <c r="AE28" s="181"/>
      <c r="AF28" s="139" t="str">
        <f t="shared" si="24"/>
        <v>-</v>
      </c>
      <c r="AG28" s="181"/>
      <c r="AH28" s="181"/>
      <c r="AI28" s="139" t="str">
        <f t="shared" si="25"/>
        <v>-</v>
      </c>
      <c r="AJ28" s="181"/>
      <c r="AK28" s="181"/>
      <c r="AL28" s="139" t="str">
        <f t="shared" si="26"/>
        <v>-</v>
      </c>
      <c r="AM28" s="181"/>
      <c r="AN28" s="181"/>
      <c r="AO28" s="139" t="str">
        <f t="shared" si="27"/>
        <v>-</v>
      </c>
      <c r="AP28" s="181"/>
      <c r="AQ28" s="181"/>
      <c r="AR28" s="139" t="str">
        <f t="shared" si="28"/>
        <v>-</v>
      </c>
      <c r="AS28" s="181"/>
      <c r="AT28" s="181"/>
      <c r="AU28" s="139" t="str">
        <f t="shared" si="29"/>
        <v>-</v>
      </c>
      <c r="AV28" s="181"/>
      <c r="AW28" s="181"/>
      <c r="AX28" s="139" t="str">
        <f t="shared" si="30"/>
        <v>-</v>
      </c>
      <c r="AY28" s="153"/>
      <c r="AZ28" s="153"/>
      <c r="BA28" s="153"/>
      <c r="BB28" s="153"/>
      <c r="BC28" s="153"/>
      <c r="BD28" s="153"/>
      <c r="BE28" s="153"/>
      <c r="BF28" s="153"/>
    </row>
    <row r="29" spans="2:58" x14ac:dyDescent="0.25">
      <c r="B29" s="58" t="s">
        <v>80</v>
      </c>
      <c r="C29" s="231">
        <v>5</v>
      </c>
      <c r="D29" s="231">
        <v>5</v>
      </c>
      <c r="E29" s="139">
        <f t="shared" si="0"/>
        <v>1</v>
      </c>
      <c r="F29" s="231">
        <v>1</v>
      </c>
      <c r="G29" s="231">
        <v>1</v>
      </c>
      <c r="H29" s="139">
        <f t="shared" si="18"/>
        <v>1</v>
      </c>
      <c r="I29" s="231">
        <v>1</v>
      </c>
      <c r="J29" s="231">
        <v>1</v>
      </c>
      <c r="K29" s="139">
        <f t="shared" si="19"/>
        <v>1</v>
      </c>
      <c r="L29" s="231">
        <f t="shared" si="3"/>
        <v>7</v>
      </c>
      <c r="M29" s="231">
        <f t="shared" si="4"/>
        <v>7</v>
      </c>
      <c r="N29" s="139">
        <f t="shared" si="5"/>
        <v>1</v>
      </c>
      <c r="O29" s="231">
        <v>9</v>
      </c>
      <c r="P29" s="231">
        <v>9</v>
      </c>
      <c r="Q29" s="139">
        <f t="shared" si="20"/>
        <v>1</v>
      </c>
      <c r="R29" s="231">
        <v>3</v>
      </c>
      <c r="S29" s="231">
        <v>1</v>
      </c>
      <c r="T29" s="139">
        <f t="shared" si="21"/>
        <v>0.33333333333333331</v>
      </c>
      <c r="U29" s="231">
        <v>8</v>
      </c>
      <c r="V29" s="231">
        <v>8</v>
      </c>
      <c r="W29" s="139">
        <f t="shared" si="22"/>
        <v>1</v>
      </c>
      <c r="X29" s="233">
        <v>115</v>
      </c>
      <c r="Y29" s="233">
        <v>110</v>
      </c>
      <c r="Z29" s="83">
        <f>IFERROR(Y29/X29,"-")</f>
        <v>0.95652173913043481</v>
      </c>
      <c r="AA29" s="181"/>
      <c r="AB29" s="181"/>
      <c r="AC29" s="139" t="str">
        <f t="shared" si="23"/>
        <v>-</v>
      </c>
      <c r="AD29" s="181"/>
      <c r="AE29" s="181"/>
      <c r="AF29" s="139" t="str">
        <f t="shared" si="24"/>
        <v>-</v>
      </c>
      <c r="AG29" s="181"/>
      <c r="AH29" s="181"/>
      <c r="AI29" s="139" t="str">
        <f t="shared" si="25"/>
        <v>-</v>
      </c>
      <c r="AJ29" s="181"/>
      <c r="AK29" s="181"/>
      <c r="AL29" s="139" t="str">
        <f t="shared" si="26"/>
        <v>-</v>
      </c>
      <c r="AM29" s="181"/>
      <c r="AN29" s="181"/>
      <c r="AO29" s="139" t="str">
        <f t="shared" si="27"/>
        <v>-</v>
      </c>
      <c r="AP29" s="181"/>
      <c r="AQ29" s="181"/>
      <c r="AR29" s="139" t="str">
        <f t="shared" si="28"/>
        <v>-</v>
      </c>
      <c r="AS29" s="181"/>
      <c r="AT29" s="181"/>
      <c r="AU29" s="139" t="str">
        <f t="shared" si="29"/>
        <v>-</v>
      </c>
      <c r="AV29" s="181"/>
      <c r="AW29" s="181"/>
      <c r="AX29" s="139" t="str">
        <f t="shared" si="30"/>
        <v>-</v>
      </c>
      <c r="AY29" s="153"/>
      <c r="AZ29" s="153"/>
      <c r="BA29" s="153"/>
      <c r="BB29" s="153"/>
      <c r="BC29" s="153"/>
      <c r="BD29" s="153"/>
      <c r="BE29" s="153"/>
      <c r="BF29" s="153"/>
    </row>
    <row r="30" spans="2:58" x14ac:dyDescent="0.25">
      <c r="B30" s="50" t="s">
        <v>81</v>
      </c>
      <c r="C30" s="8">
        <f>SUM(C11:C29)</f>
        <v>4929</v>
      </c>
      <c r="D30" s="8">
        <f>SUM(D11:D29)</f>
        <v>4887</v>
      </c>
      <c r="E30" s="8">
        <f t="shared" si="0"/>
        <v>0.99147900182592819</v>
      </c>
      <c r="F30" s="8">
        <f>SUM(F11:F29)</f>
        <v>5159</v>
      </c>
      <c r="G30" s="8">
        <f>SUM(G11:G29)</f>
        <v>5005</v>
      </c>
      <c r="H30" s="8">
        <f t="shared" si="18"/>
        <v>0.97014925373134331</v>
      </c>
      <c r="I30" s="8">
        <f>SUM(I11:I29)</f>
        <v>5835</v>
      </c>
      <c r="J30" s="8">
        <f>SUM(J11:J29)</f>
        <v>5770</v>
      </c>
      <c r="K30" s="8">
        <f t="shared" si="19"/>
        <v>0.98886032562125104</v>
      </c>
      <c r="L30" s="8">
        <f>SUM(L11:L29)</f>
        <v>15923</v>
      </c>
      <c r="M30" s="8">
        <f>SUM(M11:M29)</f>
        <v>15662</v>
      </c>
      <c r="N30" s="8">
        <f t="shared" si="5"/>
        <v>0.98360861646674624</v>
      </c>
      <c r="O30" s="8">
        <f>SUM(O11:O29)</f>
        <v>5396</v>
      </c>
      <c r="P30" s="8">
        <f>SUM(P11:P29)</f>
        <v>5272</v>
      </c>
      <c r="Q30" s="8">
        <f t="shared" si="20"/>
        <v>0.97702001482579692</v>
      </c>
      <c r="R30" s="8">
        <f>SUM(R11:R29)</f>
        <v>13129</v>
      </c>
      <c r="S30" s="8">
        <f>SUM(S11:S29)</f>
        <v>12005</v>
      </c>
      <c r="T30" s="8">
        <f t="shared" si="21"/>
        <v>0.91438799603930232</v>
      </c>
      <c r="U30" s="8">
        <f>SUM(U11:U29)</f>
        <v>6616</v>
      </c>
      <c r="V30" s="8">
        <f>SUM(V11:V29)</f>
        <v>6450</v>
      </c>
      <c r="W30" s="8">
        <f t="shared" si="22"/>
        <v>0.97490931076178955</v>
      </c>
      <c r="X30" s="8">
        <f>SUM(X11:X29)</f>
        <v>24946</v>
      </c>
      <c r="Y30" s="8">
        <f>SUM(Y11:Y29)</f>
        <v>24248</v>
      </c>
      <c r="Z30" s="103">
        <f>+Y30/X30</f>
        <v>0.97201956225446962</v>
      </c>
      <c r="AA30" s="8">
        <f>SUM(AA11:AA29)</f>
        <v>0</v>
      </c>
      <c r="AB30" s="8">
        <f>SUM(AB11:AB29)</f>
        <v>0</v>
      </c>
      <c r="AC30" s="8" t="str">
        <f t="shared" si="23"/>
        <v>-</v>
      </c>
      <c r="AD30" s="8">
        <f>SUM(AD11:AD29)</f>
        <v>0</v>
      </c>
      <c r="AE30" s="8">
        <f>SUM(AE11:AE29)</f>
        <v>0</v>
      </c>
      <c r="AF30" s="8" t="str">
        <f t="shared" si="24"/>
        <v>-</v>
      </c>
      <c r="AG30" s="8">
        <f>SUM(AG11:AG29)</f>
        <v>0</v>
      </c>
      <c r="AH30" s="8">
        <f>SUM(AH11:AH29)</f>
        <v>0</v>
      </c>
      <c r="AI30" s="8" t="str">
        <f t="shared" si="25"/>
        <v>-</v>
      </c>
      <c r="AJ30" s="8">
        <f>SUM(AJ11:AJ29)</f>
        <v>0</v>
      </c>
      <c r="AK30" s="8">
        <f>SUM(AK11:AK29)</f>
        <v>0</v>
      </c>
      <c r="AL30" s="8" t="str">
        <f t="shared" si="26"/>
        <v>-</v>
      </c>
      <c r="AM30" s="8">
        <f>SUM(AM11:AM29)</f>
        <v>0</v>
      </c>
      <c r="AN30" s="8">
        <f>SUM(AN11:AN29)</f>
        <v>0</v>
      </c>
      <c r="AO30" s="8" t="str">
        <f t="shared" si="27"/>
        <v>-</v>
      </c>
      <c r="AP30" s="8">
        <f>SUM(AP11:AP29)</f>
        <v>0</v>
      </c>
      <c r="AQ30" s="8">
        <f>SUM(AQ11:AQ29)</f>
        <v>0</v>
      </c>
      <c r="AR30" s="8" t="str">
        <f t="shared" si="28"/>
        <v>-</v>
      </c>
      <c r="AS30" s="8">
        <f>SUM(AS11:AS29)</f>
        <v>0</v>
      </c>
      <c r="AT30" s="8">
        <f>SUM(AT11:AT29)</f>
        <v>0</v>
      </c>
      <c r="AU30" s="8" t="str">
        <f t="shared" si="29"/>
        <v>-</v>
      </c>
      <c r="AV30" s="8">
        <f>SUM(AV11:AV29)</f>
        <v>0</v>
      </c>
      <c r="AW30" s="8">
        <f>SUM(AW11:AW29)</f>
        <v>0</v>
      </c>
      <c r="AX30" s="8" t="str">
        <f t="shared" si="30"/>
        <v>-</v>
      </c>
      <c r="AY30" s="153"/>
      <c r="AZ30" s="153"/>
      <c r="BA30" s="153"/>
      <c r="BB30" s="153"/>
      <c r="BC30" s="153"/>
      <c r="BD30" s="153"/>
      <c r="BE30" s="153"/>
      <c r="BF30" s="153"/>
    </row>
    <row r="31" spans="2:58" x14ac:dyDescent="0.25">
      <c r="B31" s="167" t="s">
        <v>238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</row>
    <row r="32" spans="2:58" x14ac:dyDescent="0.25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</row>
    <row r="33" spans="2:58" x14ac:dyDescent="0.25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</row>
    <row r="34" spans="2:58" x14ac:dyDescent="0.25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</row>
    <row r="35" spans="2:58" x14ac:dyDescent="0.2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</row>
    <row r="36" spans="2:58" ht="15.75" x14ac:dyDescent="0.25">
      <c r="B36" s="278" t="s">
        <v>97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153"/>
      <c r="AZ36" s="153"/>
      <c r="BA36" s="153"/>
      <c r="BB36" s="153"/>
      <c r="BC36" s="153"/>
      <c r="BD36" s="153"/>
      <c r="BE36" s="153"/>
      <c r="BF36" s="153"/>
    </row>
    <row r="37" spans="2:58" x14ac:dyDescent="0.25">
      <c r="B37" s="230"/>
      <c r="C37" s="259" t="s">
        <v>84</v>
      </c>
      <c r="D37" s="259"/>
      <c r="E37" s="259"/>
      <c r="F37" s="259" t="s">
        <v>85</v>
      </c>
      <c r="G37" s="259"/>
      <c r="H37" s="259"/>
      <c r="I37" s="259" t="s">
        <v>86</v>
      </c>
      <c r="J37" s="259"/>
      <c r="K37" s="259"/>
      <c r="L37" s="259" t="s">
        <v>93</v>
      </c>
      <c r="M37" s="259"/>
      <c r="N37" s="259"/>
      <c r="O37" s="259" t="s">
        <v>36</v>
      </c>
      <c r="P37" s="259"/>
      <c r="Q37" s="259"/>
      <c r="R37" s="259" t="s">
        <v>37</v>
      </c>
      <c r="S37" s="259"/>
      <c r="T37" s="259"/>
      <c r="U37" s="259" t="s">
        <v>38</v>
      </c>
      <c r="V37" s="259"/>
      <c r="W37" s="259"/>
      <c r="X37" s="259" t="s">
        <v>235</v>
      </c>
      <c r="Y37" s="259"/>
      <c r="Z37" s="259"/>
      <c r="AA37" s="259" t="s">
        <v>87</v>
      </c>
      <c r="AB37" s="259"/>
      <c r="AC37" s="259"/>
      <c r="AD37" s="259" t="s">
        <v>88</v>
      </c>
      <c r="AE37" s="259"/>
      <c r="AF37" s="259"/>
      <c r="AG37" s="259" t="s">
        <v>89</v>
      </c>
      <c r="AH37" s="259"/>
      <c r="AI37" s="259"/>
      <c r="AJ37" s="259" t="s">
        <v>94</v>
      </c>
      <c r="AK37" s="259"/>
      <c r="AL37" s="259"/>
      <c r="AM37" s="259" t="s">
        <v>90</v>
      </c>
      <c r="AN37" s="259"/>
      <c r="AO37" s="259"/>
      <c r="AP37" s="259" t="s">
        <v>91</v>
      </c>
      <c r="AQ37" s="259"/>
      <c r="AR37" s="259"/>
      <c r="AS37" s="259" t="s">
        <v>92</v>
      </c>
      <c r="AT37" s="259"/>
      <c r="AU37" s="259"/>
      <c r="AV37" s="259" t="s">
        <v>95</v>
      </c>
      <c r="AW37" s="259"/>
      <c r="AX37" s="259"/>
      <c r="AY37" s="153"/>
      <c r="AZ37" s="153"/>
      <c r="BA37" s="153"/>
      <c r="BB37" s="153"/>
      <c r="BC37" s="153"/>
      <c r="BD37" s="153"/>
      <c r="BE37" s="153"/>
      <c r="BF37" s="153"/>
    </row>
    <row r="38" spans="2:58" x14ac:dyDescent="0.25">
      <c r="B38" s="58"/>
      <c r="C38" s="59" t="s">
        <v>65</v>
      </c>
      <c r="D38" s="59" t="s">
        <v>66</v>
      </c>
      <c r="E38" s="59" t="s">
        <v>41</v>
      </c>
      <c r="F38" s="59" t="s">
        <v>65</v>
      </c>
      <c r="G38" s="59" t="s">
        <v>66</v>
      </c>
      <c r="H38" s="59" t="s">
        <v>67</v>
      </c>
      <c r="I38" s="59" t="s">
        <v>65</v>
      </c>
      <c r="J38" s="59" t="s">
        <v>66</v>
      </c>
      <c r="K38" s="59" t="s">
        <v>67</v>
      </c>
      <c r="L38" s="59" t="s">
        <v>65</v>
      </c>
      <c r="M38" s="59" t="s">
        <v>66</v>
      </c>
      <c r="N38" s="59" t="s">
        <v>67</v>
      </c>
      <c r="O38" s="59" t="s">
        <v>65</v>
      </c>
      <c r="P38" s="59" t="s">
        <v>66</v>
      </c>
      <c r="Q38" s="59" t="s">
        <v>67</v>
      </c>
      <c r="R38" s="59" t="s">
        <v>65</v>
      </c>
      <c r="S38" s="59" t="s">
        <v>66</v>
      </c>
      <c r="T38" s="59" t="s">
        <v>67</v>
      </c>
      <c r="U38" s="59" t="s">
        <v>65</v>
      </c>
      <c r="V38" s="59" t="s">
        <v>66</v>
      </c>
      <c r="W38" s="59" t="s">
        <v>67</v>
      </c>
      <c r="X38" s="59" t="s">
        <v>65</v>
      </c>
      <c r="Y38" s="59" t="s">
        <v>66</v>
      </c>
      <c r="Z38" s="59" t="s">
        <v>67</v>
      </c>
      <c r="AA38" s="59" t="s">
        <v>65</v>
      </c>
      <c r="AB38" s="59" t="s">
        <v>66</v>
      </c>
      <c r="AC38" s="59" t="s">
        <v>67</v>
      </c>
      <c r="AD38" s="59" t="s">
        <v>65</v>
      </c>
      <c r="AE38" s="59" t="s">
        <v>66</v>
      </c>
      <c r="AF38" s="59" t="s">
        <v>67</v>
      </c>
      <c r="AG38" s="59" t="s">
        <v>65</v>
      </c>
      <c r="AH38" s="59" t="s">
        <v>66</v>
      </c>
      <c r="AI38" s="59" t="s">
        <v>67</v>
      </c>
      <c r="AJ38" s="59" t="s">
        <v>65</v>
      </c>
      <c r="AK38" s="59" t="s">
        <v>66</v>
      </c>
      <c r="AL38" s="59" t="s">
        <v>67</v>
      </c>
      <c r="AM38" s="59" t="s">
        <v>65</v>
      </c>
      <c r="AN38" s="59" t="s">
        <v>66</v>
      </c>
      <c r="AO38" s="59" t="s">
        <v>67</v>
      </c>
      <c r="AP38" s="59" t="s">
        <v>65</v>
      </c>
      <c r="AQ38" s="59" t="s">
        <v>66</v>
      </c>
      <c r="AR38" s="59" t="s">
        <v>67</v>
      </c>
      <c r="AS38" s="59" t="s">
        <v>65</v>
      </c>
      <c r="AT38" s="59" t="s">
        <v>66</v>
      </c>
      <c r="AU38" s="59" t="s">
        <v>67</v>
      </c>
      <c r="AV38" s="59" t="s">
        <v>65</v>
      </c>
      <c r="AW38" s="59" t="s">
        <v>66</v>
      </c>
      <c r="AX38" s="59" t="s">
        <v>67</v>
      </c>
      <c r="AY38" s="153"/>
      <c r="AZ38" s="153"/>
      <c r="BA38" s="153"/>
      <c r="BB38" s="153"/>
      <c r="BC38" s="153"/>
      <c r="BD38" s="153"/>
      <c r="BE38" s="153"/>
      <c r="BF38" s="153"/>
    </row>
    <row r="39" spans="2:58" x14ac:dyDescent="0.25">
      <c r="B39" s="58" t="s">
        <v>68</v>
      </c>
      <c r="C39" s="231">
        <v>9</v>
      </c>
      <c r="D39" s="231">
        <v>7</v>
      </c>
      <c r="E39" s="139">
        <f>IFERROR(D39/C39,"-")</f>
        <v>0.77777777777777779</v>
      </c>
      <c r="F39" s="231">
        <v>11</v>
      </c>
      <c r="G39" s="231">
        <v>9</v>
      </c>
      <c r="H39" s="139">
        <f t="shared" ref="H39:H50" si="32">IFERROR(G39/F39,"-")</f>
        <v>0.81818181818181823</v>
      </c>
      <c r="I39" s="231">
        <v>14</v>
      </c>
      <c r="J39" s="231">
        <v>11</v>
      </c>
      <c r="K39" s="139">
        <f t="shared" ref="K39:K50" si="33">IFERROR(J39/I39,"-")</f>
        <v>0.7857142857142857</v>
      </c>
      <c r="L39" s="231">
        <f>+C39+F39+I39</f>
        <v>34</v>
      </c>
      <c r="M39" s="231">
        <f>+D39+G39+J39</f>
        <v>27</v>
      </c>
      <c r="N39" s="139">
        <f>IFERROR(M39/L39,"-")</f>
        <v>0.79411764705882348</v>
      </c>
      <c r="O39" s="231">
        <v>7</v>
      </c>
      <c r="P39" s="231">
        <v>6</v>
      </c>
      <c r="Q39" s="139">
        <f t="shared" ref="Q39:Q50" si="34">IFERROR(P39/O39,"-")</f>
        <v>0.8571428571428571</v>
      </c>
      <c r="R39" s="231">
        <v>8</v>
      </c>
      <c r="S39" s="231">
        <v>7</v>
      </c>
      <c r="T39" s="139">
        <f t="shared" ref="T39:T50" si="35">IFERROR(S39/R39,"-")</f>
        <v>0.875</v>
      </c>
      <c r="U39" s="231">
        <v>10</v>
      </c>
      <c r="V39" s="231">
        <v>7</v>
      </c>
      <c r="W39" s="139">
        <f t="shared" ref="W39:W50" si="36">IFERROR(V39/U39,"-")</f>
        <v>0.7</v>
      </c>
      <c r="X39" s="233">
        <v>172</v>
      </c>
      <c r="Y39" s="177">
        <v>158</v>
      </c>
      <c r="Z39" s="83">
        <f>IFERROR(Y39/X39,"-")</f>
        <v>0.91860465116279066</v>
      </c>
      <c r="AA39" s="181"/>
      <c r="AB39" s="181"/>
      <c r="AC39" s="139" t="str">
        <f>IFERROR(AB39/AA39,"-")</f>
        <v>-</v>
      </c>
      <c r="AD39" s="181"/>
      <c r="AE39" s="181"/>
      <c r="AF39" s="139" t="str">
        <f>IFERROR(AE39/AD39,"-")</f>
        <v>-</v>
      </c>
      <c r="AG39" s="181"/>
      <c r="AH39" s="181"/>
      <c r="AI39" s="139" t="str">
        <f>IFERROR(AH39/AG39,"-")</f>
        <v>-</v>
      </c>
      <c r="AJ39" s="181"/>
      <c r="AK39" s="181"/>
      <c r="AL39" s="139" t="str">
        <f>IFERROR(AK39/AJ39,"-")</f>
        <v>-</v>
      </c>
      <c r="AM39" s="181"/>
      <c r="AN39" s="181"/>
      <c r="AO39" s="139" t="str">
        <f>IFERROR(AN39/AM39,"-")</f>
        <v>-</v>
      </c>
      <c r="AP39" s="181"/>
      <c r="AQ39" s="181"/>
      <c r="AR39" s="139" t="str">
        <f>IFERROR(AQ39/AP39,"-")</f>
        <v>-</v>
      </c>
      <c r="AS39" s="181"/>
      <c r="AT39" s="181"/>
      <c r="AU39" s="139" t="str">
        <f>IFERROR(AT39/AS39,"-")</f>
        <v>-</v>
      </c>
      <c r="AV39" s="181"/>
      <c r="AW39" s="181"/>
      <c r="AX39" s="139" t="str">
        <f>IFERROR(AW39/AV39,"-")</f>
        <v>-</v>
      </c>
      <c r="AY39" s="153"/>
      <c r="AZ39" s="153"/>
      <c r="BA39" s="153"/>
      <c r="BB39" s="153"/>
      <c r="BC39" s="153"/>
      <c r="BD39" s="153"/>
      <c r="BE39" s="153"/>
      <c r="BF39" s="153"/>
    </row>
    <row r="40" spans="2:58" x14ac:dyDescent="0.25">
      <c r="B40" s="58" t="s">
        <v>71</v>
      </c>
      <c r="C40" s="231">
        <v>26</v>
      </c>
      <c r="D40" s="231">
        <v>4</v>
      </c>
      <c r="E40" s="139">
        <f t="shared" ref="E40:E49" si="37">IFERROR(D40/C40,"-")</f>
        <v>0.15384615384615385</v>
      </c>
      <c r="F40" s="231">
        <v>12</v>
      </c>
      <c r="G40" s="231">
        <v>1</v>
      </c>
      <c r="H40" s="139">
        <f t="shared" si="32"/>
        <v>8.3333333333333329E-2</v>
      </c>
      <c r="I40" s="231">
        <v>36</v>
      </c>
      <c r="J40" s="231">
        <v>4</v>
      </c>
      <c r="K40" s="139">
        <f t="shared" si="33"/>
        <v>0.1111111111111111</v>
      </c>
      <c r="L40" s="231">
        <f t="shared" ref="L40:L49" si="38">+C40+F40+I40</f>
        <v>74</v>
      </c>
      <c r="M40" s="231">
        <f t="shared" ref="M40:M49" si="39">+D40+G40+J40</f>
        <v>9</v>
      </c>
      <c r="N40" s="139">
        <f t="shared" ref="N40:N50" si="40">IFERROR(M40/L40,"-")</f>
        <v>0.12162162162162163</v>
      </c>
      <c r="O40" s="231">
        <v>10</v>
      </c>
      <c r="P40" s="231">
        <v>1</v>
      </c>
      <c r="Q40" s="139">
        <f t="shared" si="34"/>
        <v>0.1</v>
      </c>
      <c r="R40" s="231">
        <v>28</v>
      </c>
      <c r="S40" s="231">
        <v>1</v>
      </c>
      <c r="T40" s="139">
        <f t="shared" si="35"/>
        <v>3.5714285714285712E-2</v>
      </c>
      <c r="U40" s="231">
        <v>14</v>
      </c>
      <c r="V40" s="231">
        <v>3</v>
      </c>
      <c r="W40" s="139">
        <f t="shared" si="36"/>
        <v>0.21428571428571427</v>
      </c>
      <c r="X40" s="233">
        <v>50</v>
      </c>
      <c r="Y40" s="177">
        <v>37</v>
      </c>
      <c r="Z40" s="83">
        <f t="shared" ref="Z40:Z49" si="41">IFERROR(Y40/X40,"-")</f>
        <v>0.74</v>
      </c>
      <c r="AA40" s="181"/>
      <c r="AB40" s="181"/>
      <c r="AC40" s="139" t="str">
        <f>IFERROR(AB40/AA40,"-")</f>
        <v>-</v>
      </c>
      <c r="AD40" s="181"/>
      <c r="AE40" s="181"/>
      <c r="AF40" s="139" t="str">
        <f>IFERROR(AE40/AD40,"-")</f>
        <v>-</v>
      </c>
      <c r="AG40" s="181"/>
      <c r="AH40" s="181"/>
      <c r="AI40" s="139" t="str">
        <f>IFERROR(AH40/AG40,"-")</f>
        <v>-</v>
      </c>
      <c r="AJ40" s="181"/>
      <c r="AK40" s="181"/>
      <c r="AL40" s="139" t="str">
        <f>IFERROR(AK40/AJ40,"-")</f>
        <v>-</v>
      </c>
      <c r="AM40" s="181"/>
      <c r="AN40" s="181"/>
      <c r="AO40" s="139" t="str">
        <f>IFERROR(AN40/AM40,"-")</f>
        <v>-</v>
      </c>
      <c r="AP40" s="181"/>
      <c r="AQ40" s="181"/>
      <c r="AR40" s="139" t="str">
        <f>IFERROR(AQ40/AP40,"-")</f>
        <v>-</v>
      </c>
      <c r="AS40" s="181"/>
      <c r="AT40" s="181"/>
      <c r="AU40" s="139" t="str">
        <f>IFERROR(AT40/AS40,"-")</f>
        <v>-</v>
      </c>
      <c r="AV40" s="181"/>
      <c r="AW40" s="181"/>
      <c r="AX40" s="139" t="str">
        <f>IFERROR(AW40/AV40,"-")</f>
        <v>-</v>
      </c>
      <c r="AY40" s="153"/>
      <c r="AZ40" s="153"/>
      <c r="BA40" s="153"/>
      <c r="BB40" s="153"/>
      <c r="BC40" s="153"/>
      <c r="BD40" s="153"/>
      <c r="BE40" s="153"/>
      <c r="BF40" s="153"/>
    </row>
    <row r="41" spans="2:58" x14ac:dyDescent="0.25">
      <c r="B41" s="58" t="s">
        <v>72</v>
      </c>
      <c r="C41" s="231">
        <v>139</v>
      </c>
      <c r="D41" s="231">
        <v>101</v>
      </c>
      <c r="E41" s="139">
        <f t="shared" si="37"/>
        <v>0.72661870503597126</v>
      </c>
      <c r="F41" s="231">
        <v>113</v>
      </c>
      <c r="G41" s="231">
        <v>66</v>
      </c>
      <c r="H41" s="139">
        <f t="shared" si="32"/>
        <v>0.58407079646017701</v>
      </c>
      <c r="I41" s="231">
        <v>152</v>
      </c>
      <c r="J41" s="231">
        <v>104</v>
      </c>
      <c r="K41" s="139">
        <f t="shared" si="33"/>
        <v>0.68421052631578949</v>
      </c>
      <c r="L41" s="231">
        <f t="shared" si="38"/>
        <v>404</v>
      </c>
      <c r="M41" s="231">
        <f t="shared" si="39"/>
        <v>271</v>
      </c>
      <c r="N41" s="139">
        <f t="shared" si="40"/>
        <v>0.67079207920792083</v>
      </c>
      <c r="O41" s="231">
        <v>104</v>
      </c>
      <c r="P41" s="231">
        <v>71</v>
      </c>
      <c r="Q41" s="139">
        <f t="shared" si="34"/>
        <v>0.68269230769230771</v>
      </c>
      <c r="R41" s="231">
        <v>155</v>
      </c>
      <c r="S41" s="231">
        <v>95</v>
      </c>
      <c r="T41" s="139">
        <f t="shared" si="35"/>
        <v>0.61290322580645162</v>
      </c>
      <c r="U41" s="231">
        <v>112</v>
      </c>
      <c r="V41" s="231">
        <v>70</v>
      </c>
      <c r="W41" s="139">
        <f t="shared" si="36"/>
        <v>0.625</v>
      </c>
      <c r="X41" s="233">
        <v>385</v>
      </c>
      <c r="Y41" s="177">
        <v>300</v>
      </c>
      <c r="Z41" s="83">
        <f t="shared" si="41"/>
        <v>0.77922077922077926</v>
      </c>
      <c r="AA41" s="181"/>
      <c r="AB41" s="181"/>
      <c r="AC41" s="139" t="str">
        <f>IFERROR(AB41/AA41,"-")</f>
        <v>-</v>
      </c>
      <c r="AD41" s="181"/>
      <c r="AE41" s="181"/>
      <c r="AF41" s="139" t="str">
        <f>IFERROR(AE41/AD41,"-")</f>
        <v>-</v>
      </c>
      <c r="AG41" s="181"/>
      <c r="AH41" s="181"/>
      <c r="AI41" s="139" t="str">
        <f>IFERROR(AH41/AG41,"-")</f>
        <v>-</v>
      </c>
      <c r="AJ41" s="181"/>
      <c r="AK41" s="181"/>
      <c r="AL41" s="139" t="str">
        <f>IFERROR(AK41/AJ41,"-")</f>
        <v>-</v>
      </c>
      <c r="AM41" s="181"/>
      <c r="AN41" s="181"/>
      <c r="AO41" s="139" t="str">
        <f>IFERROR(AN41/AM41,"-")</f>
        <v>-</v>
      </c>
      <c r="AP41" s="181"/>
      <c r="AQ41" s="181"/>
      <c r="AR41" s="139" t="str">
        <f>IFERROR(AQ41/AP41,"-")</f>
        <v>-</v>
      </c>
      <c r="AS41" s="181"/>
      <c r="AT41" s="181"/>
      <c r="AU41" s="139" t="str">
        <f>IFERROR(AT41/AS41,"-")</f>
        <v>-</v>
      </c>
      <c r="AV41" s="181"/>
      <c r="AW41" s="181"/>
      <c r="AX41" s="139" t="str">
        <f>IFERROR(AW41/AV41,"-")</f>
        <v>-</v>
      </c>
      <c r="AY41" s="153"/>
      <c r="AZ41" s="153"/>
      <c r="BA41" s="153"/>
      <c r="BB41" s="153"/>
      <c r="BC41" s="153"/>
      <c r="BD41" s="153"/>
      <c r="BE41" s="153"/>
      <c r="BF41" s="153"/>
    </row>
    <row r="42" spans="2:58" x14ac:dyDescent="0.25">
      <c r="B42" s="58" t="s">
        <v>82</v>
      </c>
      <c r="C42" s="231">
        <v>2</v>
      </c>
      <c r="D42" s="231">
        <v>2</v>
      </c>
      <c r="E42" s="139">
        <f t="shared" si="37"/>
        <v>1</v>
      </c>
      <c r="F42" s="231">
        <v>2</v>
      </c>
      <c r="G42" s="231">
        <v>0</v>
      </c>
      <c r="H42" s="139">
        <f t="shared" si="32"/>
        <v>0</v>
      </c>
      <c r="I42" s="231">
        <v>8</v>
      </c>
      <c r="J42" s="231">
        <v>6</v>
      </c>
      <c r="K42" s="139">
        <f t="shared" si="33"/>
        <v>0.75</v>
      </c>
      <c r="L42" s="231">
        <f t="shared" si="38"/>
        <v>12</v>
      </c>
      <c r="M42" s="231">
        <f t="shared" si="39"/>
        <v>8</v>
      </c>
      <c r="N42" s="139">
        <f t="shared" si="40"/>
        <v>0.66666666666666663</v>
      </c>
      <c r="O42" s="231">
        <v>1</v>
      </c>
      <c r="P42" s="231">
        <v>0</v>
      </c>
      <c r="Q42" s="139">
        <f t="shared" si="34"/>
        <v>0</v>
      </c>
      <c r="R42" s="231">
        <v>3</v>
      </c>
      <c r="S42" s="231">
        <v>3</v>
      </c>
      <c r="T42" s="139">
        <f t="shared" si="35"/>
        <v>1</v>
      </c>
      <c r="U42" s="231">
        <v>7</v>
      </c>
      <c r="V42" s="231">
        <v>3</v>
      </c>
      <c r="W42" s="139">
        <f t="shared" si="36"/>
        <v>0.42857142857142855</v>
      </c>
      <c r="X42" s="233">
        <v>2</v>
      </c>
      <c r="Y42" s="177">
        <v>1</v>
      </c>
      <c r="Z42" s="83">
        <f t="shared" si="41"/>
        <v>0.5</v>
      </c>
      <c r="AA42" s="181"/>
      <c r="AB42" s="181"/>
      <c r="AC42" s="139" t="str">
        <f>IFERROR(AB42/AA42,"-")</f>
        <v>-</v>
      </c>
      <c r="AD42" s="181"/>
      <c r="AE42" s="181"/>
      <c r="AF42" s="139" t="str">
        <f>IFERROR(AE42/AD42,"-")</f>
        <v>-</v>
      </c>
      <c r="AG42" s="181"/>
      <c r="AH42" s="181"/>
      <c r="AI42" s="139" t="str">
        <f>IFERROR(AH42/AG42,"-")</f>
        <v>-</v>
      </c>
      <c r="AJ42" s="181"/>
      <c r="AK42" s="181"/>
      <c r="AL42" s="139" t="str">
        <f>IFERROR(AK42/AJ42,"-")</f>
        <v>-</v>
      </c>
      <c r="AM42" s="181"/>
      <c r="AN42" s="181"/>
      <c r="AO42" s="139" t="str">
        <f>IFERROR(AN42/AM42,"-")</f>
        <v>-</v>
      </c>
      <c r="AP42" s="181"/>
      <c r="AQ42" s="181"/>
      <c r="AR42" s="139" t="str">
        <f>IFERROR(AQ42/AP42,"-")</f>
        <v>-</v>
      </c>
      <c r="AS42" s="181"/>
      <c r="AT42" s="181"/>
      <c r="AU42" s="139" t="str">
        <f>IFERROR(AT42/AS42,"-")</f>
        <v>-</v>
      </c>
      <c r="AV42" s="181"/>
      <c r="AW42" s="181"/>
      <c r="AX42" s="139" t="str">
        <f>IFERROR(AW42/AV42,"-")</f>
        <v>-</v>
      </c>
      <c r="AY42" s="153"/>
      <c r="AZ42" s="153"/>
      <c r="BA42" s="153"/>
      <c r="BB42" s="153"/>
      <c r="BC42" s="153"/>
      <c r="BD42" s="153"/>
      <c r="BE42" s="153"/>
      <c r="BF42" s="153"/>
    </row>
    <row r="43" spans="2:58" x14ac:dyDescent="0.25">
      <c r="B43" s="58" t="s">
        <v>177</v>
      </c>
      <c r="C43" s="231"/>
      <c r="D43" s="231"/>
      <c r="E43" s="139"/>
      <c r="F43" s="231"/>
      <c r="G43" s="231"/>
      <c r="H43" s="139"/>
      <c r="I43" s="231"/>
      <c r="J43" s="231"/>
      <c r="K43" s="139"/>
      <c r="L43" s="231"/>
      <c r="M43" s="231"/>
      <c r="N43" s="139"/>
      <c r="O43" s="231"/>
      <c r="P43" s="231"/>
      <c r="Q43" s="139"/>
      <c r="R43" s="231"/>
      <c r="S43" s="231"/>
      <c r="T43" s="139"/>
      <c r="U43" s="231"/>
      <c r="V43" s="231"/>
      <c r="W43" s="139"/>
      <c r="X43" s="233">
        <v>0</v>
      </c>
      <c r="Y43" s="177">
        <v>0</v>
      </c>
      <c r="Z43" s="83" t="str">
        <f t="shared" si="41"/>
        <v>-</v>
      </c>
      <c r="AA43" s="181"/>
      <c r="AB43" s="181"/>
      <c r="AC43" s="139"/>
      <c r="AD43" s="181"/>
      <c r="AE43" s="181"/>
      <c r="AF43" s="139"/>
      <c r="AG43" s="181"/>
      <c r="AH43" s="181"/>
      <c r="AI43" s="139"/>
      <c r="AJ43" s="181"/>
      <c r="AK43" s="181"/>
      <c r="AL43" s="139"/>
      <c r="AM43" s="181"/>
      <c r="AN43" s="181"/>
      <c r="AO43" s="139"/>
      <c r="AP43" s="181"/>
      <c r="AQ43" s="181"/>
      <c r="AR43" s="139"/>
      <c r="AS43" s="181"/>
      <c r="AT43" s="181"/>
      <c r="AU43" s="139"/>
      <c r="AV43" s="181"/>
      <c r="AW43" s="181"/>
      <c r="AX43" s="139"/>
      <c r="AY43" s="153"/>
      <c r="AZ43" s="153"/>
      <c r="BA43" s="153"/>
      <c r="BB43" s="153"/>
      <c r="BC43" s="153"/>
      <c r="BD43" s="153"/>
      <c r="BE43" s="153"/>
      <c r="BF43" s="153"/>
    </row>
    <row r="44" spans="2:58" x14ac:dyDescent="0.25">
      <c r="B44" s="58" t="s">
        <v>73</v>
      </c>
      <c r="C44" s="231">
        <v>15</v>
      </c>
      <c r="D44" s="231">
        <v>11</v>
      </c>
      <c r="E44" s="139">
        <f t="shared" si="37"/>
        <v>0.73333333333333328</v>
      </c>
      <c r="F44" s="231">
        <v>8</v>
      </c>
      <c r="G44" s="231">
        <v>5</v>
      </c>
      <c r="H44" s="139">
        <f t="shared" si="32"/>
        <v>0.625</v>
      </c>
      <c r="I44" s="231">
        <v>32</v>
      </c>
      <c r="J44" s="231">
        <v>16</v>
      </c>
      <c r="K44" s="139">
        <f t="shared" si="33"/>
        <v>0.5</v>
      </c>
      <c r="L44" s="231">
        <f t="shared" si="38"/>
        <v>55</v>
      </c>
      <c r="M44" s="231">
        <f t="shared" si="39"/>
        <v>32</v>
      </c>
      <c r="N44" s="139">
        <f t="shared" si="40"/>
        <v>0.58181818181818179</v>
      </c>
      <c r="O44" s="231">
        <v>20</v>
      </c>
      <c r="P44" s="231">
        <v>6</v>
      </c>
      <c r="Q44" s="139">
        <f t="shared" si="34"/>
        <v>0.3</v>
      </c>
      <c r="R44" s="231">
        <v>15</v>
      </c>
      <c r="S44" s="231">
        <v>7</v>
      </c>
      <c r="T44" s="139">
        <f t="shared" si="35"/>
        <v>0.46666666666666667</v>
      </c>
      <c r="U44" s="231">
        <v>378</v>
      </c>
      <c r="V44" s="231">
        <v>2</v>
      </c>
      <c r="W44" s="139">
        <f t="shared" si="36"/>
        <v>5.2910052910052907E-3</v>
      </c>
      <c r="X44" s="233">
        <v>270</v>
      </c>
      <c r="Y44" s="177">
        <v>193</v>
      </c>
      <c r="Z44" s="83">
        <f t="shared" si="41"/>
        <v>0.71481481481481479</v>
      </c>
      <c r="AA44" s="181"/>
      <c r="AB44" s="181"/>
      <c r="AC44" s="139" t="str">
        <f>IFERROR(AB44/AA44,"-")</f>
        <v>-</v>
      </c>
      <c r="AD44" s="181"/>
      <c r="AE44" s="181"/>
      <c r="AF44" s="139" t="str">
        <f>IFERROR(AE44/AD44,"-")</f>
        <v>-</v>
      </c>
      <c r="AG44" s="181"/>
      <c r="AH44" s="181"/>
      <c r="AI44" s="139" t="str">
        <f>IFERROR(AH44/AG44,"-")</f>
        <v>-</v>
      </c>
      <c r="AJ44" s="181"/>
      <c r="AK44" s="181"/>
      <c r="AL44" s="139" t="str">
        <f>IFERROR(AK44/AJ44,"-")</f>
        <v>-</v>
      </c>
      <c r="AM44" s="181"/>
      <c r="AN44" s="181"/>
      <c r="AO44" s="139" t="str">
        <f>IFERROR(AN44/AM44,"-")</f>
        <v>-</v>
      </c>
      <c r="AP44" s="181"/>
      <c r="AQ44" s="181"/>
      <c r="AR44" s="139" t="str">
        <f>IFERROR(AQ44/AP44,"-")</f>
        <v>-</v>
      </c>
      <c r="AS44" s="181"/>
      <c r="AT44" s="181"/>
      <c r="AU44" s="139" t="str">
        <f>IFERROR(AT44/AS44,"-")</f>
        <v>-</v>
      </c>
      <c r="AV44" s="181"/>
      <c r="AW44" s="181"/>
      <c r="AX44" s="139" t="str">
        <f>IFERROR(AW44/AV44,"-")</f>
        <v>-</v>
      </c>
      <c r="AY44" s="153"/>
      <c r="AZ44" s="153"/>
      <c r="BA44" s="153"/>
      <c r="BB44" s="153"/>
      <c r="BC44" s="153"/>
      <c r="BD44" s="153"/>
      <c r="BE44" s="153"/>
      <c r="BF44" s="153"/>
    </row>
    <row r="45" spans="2:58" x14ac:dyDescent="0.25">
      <c r="B45" s="58" t="s">
        <v>74</v>
      </c>
      <c r="C45" s="231">
        <v>17</v>
      </c>
      <c r="D45" s="231">
        <v>1</v>
      </c>
      <c r="E45" s="139">
        <f t="shared" si="37"/>
        <v>5.8823529411764705E-2</v>
      </c>
      <c r="F45" s="231">
        <v>9</v>
      </c>
      <c r="G45" s="231">
        <v>0</v>
      </c>
      <c r="H45" s="139">
        <f t="shared" si="32"/>
        <v>0</v>
      </c>
      <c r="I45" s="231">
        <v>10</v>
      </c>
      <c r="J45" s="231">
        <v>2</v>
      </c>
      <c r="K45" s="139">
        <f t="shared" si="33"/>
        <v>0.2</v>
      </c>
      <c r="L45" s="231">
        <f t="shared" si="38"/>
        <v>36</v>
      </c>
      <c r="M45" s="231">
        <f t="shared" si="39"/>
        <v>3</v>
      </c>
      <c r="N45" s="139">
        <f t="shared" si="40"/>
        <v>8.3333333333333329E-2</v>
      </c>
      <c r="O45" s="231">
        <v>8</v>
      </c>
      <c r="P45" s="231">
        <v>10</v>
      </c>
      <c r="Q45" s="139">
        <f t="shared" si="34"/>
        <v>1.25</v>
      </c>
      <c r="R45" s="231">
        <v>9</v>
      </c>
      <c r="S45" s="231">
        <v>1</v>
      </c>
      <c r="T45" s="139">
        <f t="shared" si="35"/>
        <v>0.1111111111111111</v>
      </c>
      <c r="U45" s="231">
        <v>9</v>
      </c>
      <c r="V45" s="231">
        <v>0</v>
      </c>
      <c r="W45" s="139">
        <f t="shared" si="36"/>
        <v>0</v>
      </c>
      <c r="X45" s="233">
        <v>222</v>
      </c>
      <c r="Y45" s="177">
        <v>137</v>
      </c>
      <c r="Z45" s="83">
        <f t="shared" si="41"/>
        <v>0.61711711711711714</v>
      </c>
      <c r="AA45" s="181"/>
      <c r="AB45" s="181"/>
      <c r="AC45" s="139"/>
      <c r="AD45" s="181"/>
      <c r="AE45" s="181"/>
      <c r="AF45" s="139"/>
      <c r="AG45" s="181"/>
      <c r="AH45" s="181"/>
      <c r="AI45" s="139"/>
      <c r="AJ45" s="181"/>
      <c r="AK45" s="181"/>
      <c r="AL45" s="139"/>
      <c r="AM45" s="181"/>
      <c r="AN45" s="181"/>
      <c r="AO45" s="139"/>
      <c r="AP45" s="181"/>
      <c r="AQ45" s="181"/>
      <c r="AR45" s="139"/>
      <c r="AS45" s="181"/>
      <c r="AT45" s="181"/>
      <c r="AU45" s="139"/>
      <c r="AV45" s="181"/>
      <c r="AW45" s="181"/>
      <c r="AX45" s="139"/>
      <c r="AY45" s="153"/>
      <c r="AZ45" s="153"/>
      <c r="BA45" s="153"/>
      <c r="BB45" s="153"/>
      <c r="BC45" s="153"/>
      <c r="BD45" s="153"/>
      <c r="BE45" s="153"/>
      <c r="BF45" s="153"/>
    </row>
    <row r="46" spans="2:58" x14ac:dyDescent="0.25">
      <c r="B46" s="58" t="s">
        <v>75</v>
      </c>
      <c r="C46" s="231">
        <v>4</v>
      </c>
      <c r="D46" s="231">
        <v>3</v>
      </c>
      <c r="E46" s="139">
        <f t="shared" si="37"/>
        <v>0.75</v>
      </c>
      <c r="F46" s="231">
        <v>1</v>
      </c>
      <c r="G46" s="231">
        <v>0</v>
      </c>
      <c r="H46" s="139">
        <f t="shared" si="32"/>
        <v>0</v>
      </c>
      <c r="I46" s="231">
        <v>4</v>
      </c>
      <c r="J46" s="231">
        <v>0</v>
      </c>
      <c r="K46" s="139">
        <f t="shared" si="33"/>
        <v>0</v>
      </c>
      <c r="L46" s="231">
        <f t="shared" si="38"/>
        <v>9</v>
      </c>
      <c r="M46" s="231">
        <f t="shared" si="39"/>
        <v>3</v>
      </c>
      <c r="N46" s="139">
        <f t="shared" si="40"/>
        <v>0.33333333333333331</v>
      </c>
      <c r="O46" s="231">
        <v>16</v>
      </c>
      <c r="P46" s="231">
        <v>1</v>
      </c>
      <c r="Q46" s="139">
        <f t="shared" si="34"/>
        <v>6.25E-2</v>
      </c>
      <c r="R46" s="231">
        <v>1</v>
      </c>
      <c r="S46" s="231">
        <v>1</v>
      </c>
      <c r="T46" s="139">
        <f t="shared" si="35"/>
        <v>1</v>
      </c>
      <c r="U46" s="231">
        <v>3</v>
      </c>
      <c r="V46" s="231">
        <v>2</v>
      </c>
      <c r="W46" s="139">
        <f t="shared" si="36"/>
        <v>0.66666666666666663</v>
      </c>
      <c r="X46" s="233">
        <v>9</v>
      </c>
      <c r="Y46" s="177">
        <v>8</v>
      </c>
      <c r="Z46" s="83">
        <f t="shared" si="41"/>
        <v>0.88888888888888884</v>
      </c>
      <c r="AA46" s="181"/>
      <c r="AB46" s="181"/>
      <c r="AC46" s="139" t="str">
        <f>IFERROR(AB46/AA46,"-")</f>
        <v>-</v>
      </c>
      <c r="AD46" s="181"/>
      <c r="AE46" s="181"/>
      <c r="AF46" s="139" t="str">
        <f>IFERROR(AE46/AD46,"-")</f>
        <v>-</v>
      </c>
      <c r="AG46" s="181"/>
      <c r="AH46" s="181"/>
      <c r="AI46" s="139" t="str">
        <f>IFERROR(AH46/AG46,"-")</f>
        <v>-</v>
      </c>
      <c r="AJ46" s="181"/>
      <c r="AK46" s="181"/>
      <c r="AL46" s="139" t="str">
        <f>IFERROR(AK46/AJ46,"-")</f>
        <v>-</v>
      </c>
      <c r="AM46" s="181"/>
      <c r="AN46" s="181"/>
      <c r="AO46" s="139" t="str">
        <f>IFERROR(AN46/AM46,"-")</f>
        <v>-</v>
      </c>
      <c r="AP46" s="181"/>
      <c r="AQ46" s="181"/>
      <c r="AR46" s="139" t="str">
        <f>IFERROR(AQ46/AP46,"-")</f>
        <v>-</v>
      </c>
      <c r="AS46" s="181"/>
      <c r="AT46" s="181"/>
      <c r="AU46" s="139" t="str">
        <f>IFERROR(AT46/AS46,"-")</f>
        <v>-</v>
      </c>
      <c r="AV46" s="181"/>
      <c r="AW46" s="181"/>
      <c r="AX46" s="139" t="str">
        <f>IFERROR(AW46/AV46,"-")</f>
        <v>-</v>
      </c>
      <c r="AY46" s="153"/>
      <c r="AZ46" s="153"/>
      <c r="BA46" s="153"/>
      <c r="BB46" s="153"/>
      <c r="BC46" s="153"/>
      <c r="BD46" s="153"/>
      <c r="BE46" s="153"/>
      <c r="BF46" s="153"/>
    </row>
    <row r="47" spans="2:58" x14ac:dyDescent="0.25">
      <c r="B47" s="58" t="s">
        <v>76</v>
      </c>
      <c r="C47" s="231">
        <v>76</v>
      </c>
      <c r="D47" s="231">
        <v>19</v>
      </c>
      <c r="E47" s="139">
        <f t="shared" si="37"/>
        <v>0.25</v>
      </c>
      <c r="F47" s="231">
        <v>85</v>
      </c>
      <c r="G47" s="231">
        <v>1</v>
      </c>
      <c r="H47" s="139">
        <f t="shared" si="32"/>
        <v>1.1764705882352941E-2</v>
      </c>
      <c r="I47" s="231">
        <v>143</v>
      </c>
      <c r="J47" s="231">
        <v>13</v>
      </c>
      <c r="K47" s="139">
        <f t="shared" si="33"/>
        <v>9.0909090909090912E-2</v>
      </c>
      <c r="L47" s="231">
        <f t="shared" si="38"/>
        <v>304</v>
      </c>
      <c r="M47" s="231">
        <f t="shared" si="39"/>
        <v>33</v>
      </c>
      <c r="N47" s="139">
        <f t="shared" si="40"/>
        <v>0.10855263157894737</v>
      </c>
      <c r="O47" s="231">
        <v>138</v>
      </c>
      <c r="P47" s="231">
        <v>4</v>
      </c>
      <c r="Q47" s="139">
        <f t="shared" si="34"/>
        <v>2.8985507246376812E-2</v>
      </c>
      <c r="R47" s="231">
        <v>4771</v>
      </c>
      <c r="S47" s="231">
        <v>2078</v>
      </c>
      <c r="T47" s="139">
        <f t="shared" si="35"/>
        <v>0.43554810312303499</v>
      </c>
      <c r="U47" s="231">
        <v>1542</v>
      </c>
      <c r="V47" s="231">
        <v>445</v>
      </c>
      <c r="W47" s="139">
        <f t="shared" si="36"/>
        <v>0.28858625162127105</v>
      </c>
      <c r="X47" s="233">
        <v>267</v>
      </c>
      <c r="Y47" s="177">
        <v>219</v>
      </c>
      <c r="Z47" s="83">
        <f t="shared" si="41"/>
        <v>0.8202247191011236</v>
      </c>
      <c r="AA47" s="181"/>
      <c r="AB47" s="181"/>
      <c r="AC47" s="139" t="str">
        <f>IFERROR(AB47/AA47,"-")</f>
        <v>-</v>
      </c>
      <c r="AD47" s="181"/>
      <c r="AE47" s="181"/>
      <c r="AF47" s="139" t="str">
        <f>IFERROR(AE47/AD47,"-")</f>
        <v>-</v>
      </c>
      <c r="AG47" s="181"/>
      <c r="AH47" s="181"/>
      <c r="AI47" s="139" t="str">
        <f>IFERROR(AH47/AG47,"-")</f>
        <v>-</v>
      </c>
      <c r="AJ47" s="181"/>
      <c r="AK47" s="181"/>
      <c r="AL47" s="139" t="str">
        <f>IFERROR(AK47/AJ47,"-")</f>
        <v>-</v>
      </c>
      <c r="AM47" s="181"/>
      <c r="AN47" s="181"/>
      <c r="AO47" s="139" t="str">
        <f>IFERROR(AN47/AM47,"-")</f>
        <v>-</v>
      </c>
      <c r="AP47" s="181"/>
      <c r="AQ47" s="181"/>
      <c r="AR47" s="139" t="str">
        <f>IFERROR(AQ47/AP47,"-")</f>
        <v>-</v>
      </c>
      <c r="AS47" s="181"/>
      <c r="AT47" s="181"/>
      <c r="AU47" s="139" t="str">
        <f>IFERROR(AT47/AS47,"-")</f>
        <v>-</v>
      </c>
      <c r="AV47" s="181"/>
      <c r="AW47" s="181"/>
      <c r="AX47" s="139" t="str">
        <f>IFERROR(AW47/AV47,"-")</f>
        <v>-</v>
      </c>
      <c r="AY47" s="153"/>
      <c r="AZ47" s="153"/>
      <c r="BA47" s="153"/>
      <c r="BB47" s="153"/>
      <c r="BC47" s="153"/>
      <c r="BD47" s="153"/>
      <c r="BE47" s="153"/>
      <c r="BF47" s="153"/>
    </row>
    <row r="48" spans="2:58" x14ac:dyDescent="0.25">
      <c r="B48" s="58" t="s">
        <v>77</v>
      </c>
      <c r="C48" s="231">
        <v>748</v>
      </c>
      <c r="D48" s="231">
        <v>323</v>
      </c>
      <c r="E48" s="139">
        <f t="shared" si="37"/>
        <v>0.43181818181818182</v>
      </c>
      <c r="F48" s="231">
        <v>1013</v>
      </c>
      <c r="G48" s="231">
        <v>813</v>
      </c>
      <c r="H48" s="139">
        <f t="shared" si="32"/>
        <v>0.8025666337611056</v>
      </c>
      <c r="I48" s="231">
        <v>762</v>
      </c>
      <c r="J48" s="231">
        <v>566</v>
      </c>
      <c r="K48" s="139">
        <f t="shared" si="33"/>
        <v>0.7427821522309711</v>
      </c>
      <c r="L48" s="231">
        <f t="shared" si="38"/>
        <v>2523</v>
      </c>
      <c r="M48" s="231">
        <f t="shared" si="39"/>
        <v>1702</v>
      </c>
      <c r="N48" s="139">
        <f t="shared" si="40"/>
        <v>0.67459373761395169</v>
      </c>
      <c r="O48" s="231">
        <v>270</v>
      </c>
      <c r="P48" s="231">
        <v>182</v>
      </c>
      <c r="Q48" s="139">
        <f t="shared" si="34"/>
        <v>0.67407407407407405</v>
      </c>
      <c r="R48" s="231">
        <v>198</v>
      </c>
      <c r="S48" s="231">
        <v>137</v>
      </c>
      <c r="T48" s="139">
        <f t="shared" si="35"/>
        <v>0.69191919191919193</v>
      </c>
      <c r="U48" s="231">
        <v>115</v>
      </c>
      <c r="V48" s="231">
        <v>82</v>
      </c>
      <c r="W48" s="139">
        <f t="shared" si="36"/>
        <v>0.71304347826086956</v>
      </c>
      <c r="X48" s="233">
        <v>1909</v>
      </c>
      <c r="Y48" s="177">
        <v>1166</v>
      </c>
      <c r="Z48" s="83">
        <f t="shared" si="41"/>
        <v>0.6107909900471451</v>
      </c>
      <c r="AA48" s="181"/>
      <c r="AB48" s="181"/>
      <c r="AC48" s="139" t="str">
        <f>IFERROR(AB48/AA48,"-")</f>
        <v>-</v>
      </c>
      <c r="AD48" s="181"/>
      <c r="AE48" s="181"/>
      <c r="AF48" s="139" t="str">
        <f>IFERROR(AE48/AD48,"-")</f>
        <v>-</v>
      </c>
      <c r="AG48" s="181"/>
      <c r="AH48" s="181"/>
      <c r="AI48" s="139" t="str">
        <f>IFERROR(AH48/AG48,"-")</f>
        <v>-</v>
      </c>
      <c r="AJ48" s="181"/>
      <c r="AK48" s="181"/>
      <c r="AL48" s="139" t="str">
        <f>IFERROR(AK48/AJ48,"-")</f>
        <v>-</v>
      </c>
      <c r="AM48" s="181"/>
      <c r="AN48" s="181"/>
      <c r="AO48" s="139" t="str">
        <f>IFERROR(AN48/AM48,"-")</f>
        <v>-</v>
      </c>
      <c r="AP48" s="181"/>
      <c r="AQ48" s="181"/>
      <c r="AR48" s="139" t="str">
        <f>IFERROR(AQ48/AP48,"-")</f>
        <v>-</v>
      </c>
      <c r="AS48" s="181"/>
      <c r="AT48" s="181"/>
      <c r="AU48" s="139" t="str">
        <f>IFERROR(AT48/AS48,"-")</f>
        <v>-</v>
      </c>
      <c r="AV48" s="181"/>
      <c r="AW48" s="181"/>
      <c r="AX48" s="139" t="str">
        <f>IFERROR(AW48/AV48,"-")</f>
        <v>-</v>
      </c>
      <c r="AY48" s="153"/>
      <c r="AZ48" s="153"/>
      <c r="BA48" s="153"/>
      <c r="BB48" s="153"/>
      <c r="BC48" s="153"/>
      <c r="BD48" s="153"/>
      <c r="BE48" s="153"/>
      <c r="BF48" s="153"/>
    </row>
    <row r="49" spans="2:58" x14ac:dyDescent="0.25">
      <c r="B49" s="58" t="s">
        <v>79</v>
      </c>
      <c r="C49" s="231">
        <v>27</v>
      </c>
      <c r="D49" s="231">
        <v>24</v>
      </c>
      <c r="E49" s="139">
        <f t="shared" si="37"/>
        <v>0.88888888888888884</v>
      </c>
      <c r="F49" s="231">
        <v>30</v>
      </c>
      <c r="G49" s="231">
        <v>23</v>
      </c>
      <c r="H49" s="139">
        <f t="shared" si="32"/>
        <v>0.76666666666666672</v>
      </c>
      <c r="I49" s="231">
        <v>54</v>
      </c>
      <c r="J49" s="231">
        <v>41</v>
      </c>
      <c r="K49" s="139">
        <f t="shared" si="33"/>
        <v>0.7592592592592593</v>
      </c>
      <c r="L49" s="231">
        <f t="shared" si="38"/>
        <v>111</v>
      </c>
      <c r="M49" s="231">
        <f t="shared" si="39"/>
        <v>88</v>
      </c>
      <c r="N49" s="139">
        <f t="shared" si="40"/>
        <v>0.7927927927927928</v>
      </c>
      <c r="O49" s="231">
        <v>44</v>
      </c>
      <c r="P49" s="231">
        <v>39</v>
      </c>
      <c r="Q49" s="139">
        <f t="shared" si="34"/>
        <v>0.88636363636363635</v>
      </c>
      <c r="R49" s="231">
        <v>44</v>
      </c>
      <c r="S49" s="231">
        <v>35</v>
      </c>
      <c r="T49" s="139">
        <f t="shared" si="35"/>
        <v>0.79545454545454541</v>
      </c>
      <c r="U49" s="231">
        <v>36</v>
      </c>
      <c r="V49" s="231">
        <v>25</v>
      </c>
      <c r="W49" s="139">
        <f t="shared" si="36"/>
        <v>0.69444444444444442</v>
      </c>
      <c r="X49" s="233">
        <v>97</v>
      </c>
      <c r="Y49" s="177">
        <v>88</v>
      </c>
      <c r="Z49" s="83">
        <f t="shared" si="41"/>
        <v>0.90721649484536082</v>
      </c>
      <c r="AA49" s="181"/>
      <c r="AB49" s="181"/>
      <c r="AC49" s="139" t="str">
        <f>IFERROR(AB49/AA49,"-")</f>
        <v>-</v>
      </c>
      <c r="AD49" s="181"/>
      <c r="AE49" s="181"/>
      <c r="AF49" s="139" t="str">
        <f>IFERROR(AE49/AD49,"-")</f>
        <v>-</v>
      </c>
      <c r="AG49" s="181"/>
      <c r="AH49" s="181"/>
      <c r="AI49" s="139" t="str">
        <f>IFERROR(AH49/AG49,"-")</f>
        <v>-</v>
      </c>
      <c r="AJ49" s="181"/>
      <c r="AK49" s="181"/>
      <c r="AL49" s="139" t="str">
        <f>IFERROR(AK49/AJ49,"-")</f>
        <v>-</v>
      </c>
      <c r="AM49" s="181"/>
      <c r="AN49" s="181"/>
      <c r="AO49" s="139" t="str">
        <f>IFERROR(AN49/AM49,"-")</f>
        <v>-</v>
      </c>
      <c r="AP49" s="181"/>
      <c r="AQ49" s="181"/>
      <c r="AR49" s="139" t="str">
        <f>IFERROR(AQ49/AP49,"-")</f>
        <v>-</v>
      </c>
      <c r="AS49" s="181"/>
      <c r="AT49" s="181"/>
      <c r="AU49" s="139" t="str">
        <f>IFERROR(AT49/AS49,"-")</f>
        <v>-</v>
      </c>
      <c r="AV49" s="181"/>
      <c r="AW49" s="181"/>
      <c r="AX49" s="139" t="str">
        <f>IFERROR(AW49/AV49,"-")</f>
        <v>-</v>
      </c>
      <c r="AY49" s="153"/>
      <c r="AZ49" s="153"/>
      <c r="BA49" s="153"/>
      <c r="BB49" s="153"/>
      <c r="BC49" s="153"/>
      <c r="BD49" s="153"/>
      <c r="BE49" s="153"/>
      <c r="BF49" s="153"/>
    </row>
    <row r="50" spans="2:58" x14ac:dyDescent="0.25">
      <c r="B50" s="50" t="s">
        <v>81</v>
      </c>
      <c r="C50" s="8">
        <f>SUM(C39:C49)</f>
        <v>1063</v>
      </c>
      <c r="D50" s="8">
        <f>SUM(D39:D49)</f>
        <v>495</v>
      </c>
      <c r="E50" s="8">
        <f>IFERROR(D50/C50,"-")</f>
        <v>0.46566321730950139</v>
      </c>
      <c r="F50" s="8">
        <f>SUM(F39:F49)</f>
        <v>1284</v>
      </c>
      <c r="G50" s="8">
        <f>SUM(G39:G49)</f>
        <v>918</v>
      </c>
      <c r="H50" s="8">
        <f t="shared" si="32"/>
        <v>0.71495327102803741</v>
      </c>
      <c r="I50" s="8">
        <f>SUM(I39:I49)</f>
        <v>1215</v>
      </c>
      <c r="J50" s="8">
        <f>SUM(J39:J49)</f>
        <v>763</v>
      </c>
      <c r="K50" s="8">
        <f t="shared" si="33"/>
        <v>0.62798353909465021</v>
      </c>
      <c r="L50" s="8">
        <f>SUM(L39:L49)</f>
        <v>3562</v>
      </c>
      <c r="M50" s="8">
        <f>SUM(M39:M49)</f>
        <v>2176</v>
      </c>
      <c r="N50" s="8">
        <f t="shared" si="40"/>
        <v>0.61089275687815836</v>
      </c>
      <c r="O50" s="8">
        <f>SUM(O39:O49)</f>
        <v>618</v>
      </c>
      <c r="P50" s="8">
        <f>SUM(P39:P49)</f>
        <v>320</v>
      </c>
      <c r="Q50" s="8">
        <f t="shared" si="34"/>
        <v>0.51779935275080902</v>
      </c>
      <c r="R50" s="8">
        <f>SUM(R39:R49)</f>
        <v>5232</v>
      </c>
      <c r="S50" s="8">
        <f>SUM(S39:S49)</f>
        <v>2365</v>
      </c>
      <c r="T50" s="8">
        <f t="shared" si="35"/>
        <v>0.45202599388379205</v>
      </c>
      <c r="U50" s="8">
        <f>SUM(U39:U49)</f>
        <v>2226</v>
      </c>
      <c r="V50" s="8">
        <f>SUM(V39:V49)</f>
        <v>639</v>
      </c>
      <c r="W50" s="8">
        <f t="shared" si="36"/>
        <v>0.28706199460916443</v>
      </c>
      <c r="X50" s="8">
        <f>SUM(X39:X49)</f>
        <v>3383</v>
      </c>
      <c r="Y50" s="8">
        <f>SUM(Y39:Y49)</f>
        <v>2307</v>
      </c>
      <c r="Z50" s="16">
        <f>+Y50/X50</f>
        <v>0.68193910730121199</v>
      </c>
      <c r="AA50" s="8">
        <f>SUM(AA39:AA49)</f>
        <v>0</v>
      </c>
      <c r="AB50" s="8">
        <f>SUM(AB39:AB49)</f>
        <v>0</v>
      </c>
      <c r="AC50" s="8" t="str">
        <f>IFERROR(AB50/AA50,"-")</f>
        <v>-</v>
      </c>
      <c r="AD50" s="8">
        <f>SUM(AD39:AD49)</f>
        <v>0</v>
      </c>
      <c r="AE50" s="8">
        <f>SUM(AE39:AE49)</f>
        <v>0</v>
      </c>
      <c r="AF50" s="8" t="str">
        <f>IFERROR(AE50/AD50,"-")</f>
        <v>-</v>
      </c>
      <c r="AG50" s="8">
        <f>SUM(AG39:AG49)</f>
        <v>0</v>
      </c>
      <c r="AH50" s="8">
        <f>SUM(AH39:AH49)</f>
        <v>0</v>
      </c>
      <c r="AI50" s="8" t="str">
        <f>IFERROR(AH50/AG50,"-")</f>
        <v>-</v>
      </c>
      <c r="AJ50" s="8">
        <f>SUM(AJ39:AJ49)</f>
        <v>0</v>
      </c>
      <c r="AK50" s="8">
        <f>SUM(AK39:AK49)</f>
        <v>0</v>
      </c>
      <c r="AL50" s="8" t="str">
        <f>IFERROR(AK50/AJ50,"-")</f>
        <v>-</v>
      </c>
      <c r="AM50" s="8">
        <f>SUM(AM39:AM49)</f>
        <v>0</v>
      </c>
      <c r="AN50" s="8">
        <f>SUM(AN39:AN49)</f>
        <v>0</v>
      </c>
      <c r="AO50" s="8" t="str">
        <f>IFERROR(AN50/AM50,"-")</f>
        <v>-</v>
      </c>
      <c r="AP50" s="8">
        <f>SUM(AP39:AP49)</f>
        <v>0</v>
      </c>
      <c r="AQ50" s="8">
        <f>SUM(AQ39:AQ49)</f>
        <v>0</v>
      </c>
      <c r="AR50" s="8" t="str">
        <f>IFERROR(AQ50/AP50,"-")</f>
        <v>-</v>
      </c>
      <c r="AS50" s="8">
        <f>SUM(AS39:AS49)</f>
        <v>0</v>
      </c>
      <c r="AT50" s="8">
        <f>SUM(AT39:AT49)</f>
        <v>0</v>
      </c>
      <c r="AU50" s="8" t="str">
        <f>IFERROR(AT50/AS50,"-")</f>
        <v>-</v>
      </c>
      <c r="AV50" s="8">
        <f>SUM(AV39:AV49)</f>
        <v>0</v>
      </c>
      <c r="AW50" s="8">
        <f>SUM(AW39:AW49)</f>
        <v>0</v>
      </c>
      <c r="AX50" s="8" t="str">
        <f>IFERROR(AW50/AV50,"-")</f>
        <v>-</v>
      </c>
      <c r="AY50" s="153"/>
      <c r="AZ50" s="153"/>
      <c r="BA50" s="153"/>
      <c r="BB50" s="153"/>
      <c r="BC50" s="153"/>
      <c r="BD50" s="153"/>
      <c r="BE50" s="153"/>
      <c r="BF50" s="153"/>
    </row>
    <row r="51" spans="2:58" x14ac:dyDescent="0.25">
      <c r="B51" s="162" t="s">
        <v>238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</row>
    <row r="52" spans="2:58" x14ac:dyDescent="0.2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</row>
    <row r="53" spans="2:58" x14ac:dyDescent="0.2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</row>
    <row r="54" spans="2:58" x14ac:dyDescent="0.2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</row>
    <row r="55" spans="2:58" x14ac:dyDescent="0.2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</row>
  </sheetData>
  <mergeCells count="39">
    <mergeCell ref="B5:Z5"/>
    <mergeCell ref="B1:Z1"/>
    <mergeCell ref="B2:Z2"/>
    <mergeCell ref="B3:Z3"/>
    <mergeCell ref="C9:E9"/>
    <mergeCell ref="O9:Q9"/>
    <mergeCell ref="B4:Z4"/>
    <mergeCell ref="C37:E37"/>
    <mergeCell ref="F9:H9"/>
    <mergeCell ref="F37:H37"/>
    <mergeCell ref="I9:K9"/>
    <mergeCell ref="I37:K37"/>
    <mergeCell ref="O37:Q37"/>
    <mergeCell ref="AG9:AI9"/>
    <mergeCell ref="AG37:AI37"/>
    <mergeCell ref="AM9:AO9"/>
    <mergeCell ref="AM37:AO37"/>
    <mergeCell ref="R9:T9"/>
    <mergeCell ref="R37:T37"/>
    <mergeCell ref="U9:W9"/>
    <mergeCell ref="U37:W37"/>
    <mergeCell ref="AA9:AC9"/>
    <mergeCell ref="AA37:AC37"/>
    <mergeCell ref="AV9:AX9"/>
    <mergeCell ref="AV37:AX37"/>
    <mergeCell ref="B8:AX8"/>
    <mergeCell ref="B36:AX36"/>
    <mergeCell ref="AP9:AR9"/>
    <mergeCell ref="AP37:AR37"/>
    <mergeCell ref="AS9:AU9"/>
    <mergeCell ref="AS37:AU37"/>
    <mergeCell ref="L9:N9"/>
    <mergeCell ref="L37:N37"/>
    <mergeCell ref="X9:Z9"/>
    <mergeCell ref="X37:Z37"/>
    <mergeCell ref="AJ9:AL9"/>
    <mergeCell ref="AJ37:AL37"/>
    <mergeCell ref="AD9:AF9"/>
    <mergeCell ref="AD37:AF37"/>
  </mergeCells>
  <pageMargins left="0.7" right="0.7" top="0.75" bottom="0.75" header="0.3" footer="0.3"/>
  <pageSetup paperSize="9" scale="45" orientation="portrait" r:id="rId1"/>
  <colBreaks count="1" manualBreakCount="1">
    <brk id="59" max="1048575" man="1"/>
  </colBreaks>
  <ignoredErrors>
    <ignoredError sqref="Z50 Z3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O46"/>
  <sheetViews>
    <sheetView showGridLines="0" topLeftCell="A3" zoomScaleNormal="100" zoomScaleSheetLayoutView="100" workbookViewId="0">
      <selection activeCell="E7" sqref="E7"/>
    </sheetView>
  </sheetViews>
  <sheetFormatPr baseColWidth="10" defaultColWidth="11.42578125" defaultRowHeight="15" x14ac:dyDescent="0.25"/>
  <cols>
    <col min="1" max="1" width="12.140625" style="1" customWidth="1"/>
    <col min="2" max="3" width="11.42578125" style="1"/>
    <col min="4" max="4" width="12.140625" style="1" customWidth="1"/>
    <col min="5" max="5" width="13.42578125" style="1" customWidth="1"/>
    <col min="6" max="6" width="15.5703125" style="1" customWidth="1"/>
    <col min="7" max="16384" width="11.42578125" style="1"/>
  </cols>
  <sheetData>
    <row r="1" spans="1:15" x14ac:dyDescent="0.25">
      <c r="A1" s="244" t="s">
        <v>0</v>
      </c>
      <c r="B1" s="244"/>
      <c r="C1" s="244"/>
      <c r="D1" s="244"/>
      <c r="E1" s="244"/>
      <c r="F1" s="244"/>
    </row>
    <row r="2" spans="1:15" x14ac:dyDescent="0.25">
      <c r="A2" s="244" t="s">
        <v>123</v>
      </c>
      <c r="B2" s="244"/>
      <c r="C2" s="244"/>
      <c r="D2" s="244"/>
      <c r="E2" s="244"/>
      <c r="F2" s="244"/>
    </row>
    <row r="3" spans="1:15" x14ac:dyDescent="0.25">
      <c r="A3" s="244" t="s">
        <v>222</v>
      </c>
      <c r="B3" s="244"/>
      <c r="C3" s="244"/>
      <c r="D3" s="244"/>
      <c r="E3" s="244"/>
      <c r="F3" s="244"/>
    </row>
    <row r="4" spans="1:15" x14ac:dyDescent="0.25">
      <c r="A4" s="244" t="s">
        <v>225</v>
      </c>
      <c r="B4" s="244"/>
      <c r="C4" s="244"/>
      <c r="D4" s="244"/>
      <c r="E4" s="244"/>
      <c r="F4" s="244"/>
    </row>
    <row r="5" spans="1:15" x14ac:dyDescent="0.25">
      <c r="A5" s="244" t="s">
        <v>166</v>
      </c>
      <c r="B5" s="244"/>
      <c r="C5" s="244"/>
      <c r="D5" s="244"/>
      <c r="E5" s="244"/>
      <c r="F5" s="244"/>
      <c r="O5" s="19"/>
    </row>
    <row r="6" spans="1:15" ht="40.5" customHeight="1" x14ac:dyDescent="0.25">
      <c r="A6" s="47" t="s">
        <v>1</v>
      </c>
      <c r="B6" s="49" t="s">
        <v>221</v>
      </c>
      <c r="C6" s="49" t="s">
        <v>2</v>
      </c>
      <c r="D6" s="49" t="s">
        <v>3</v>
      </c>
      <c r="E6" s="49" t="s">
        <v>4</v>
      </c>
      <c r="F6" s="49" t="s">
        <v>5</v>
      </c>
      <c r="G6" s="153"/>
      <c r="H6" s="153"/>
      <c r="I6" s="153"/>
      <c r="J6" s="153"/>
      <c r="K6" s="153"/>
      <c r="L6" s="153"/>
      <c r="M6" s="153"/>
      <c r="N6" s="153"/>
    </row>
    <row r="7" spans="1:15" x14ac:dyDescent="0.25">
      <c r="A7" s="98" t="s">
        <v>89</v>
      </c>
      <c r="B7" s="99">
        <v>94236</v>
      </c>
      <c r="C7" s="99">
        <v>31384</v>
      </c>
      <c r="D7" s="17">
        <f t="shared" ref="D7" si="0">+C7/B7</f>
        <v>0.33303620696973557</v>
      </c>
      <c r="E7" s="164">
        <v>62852</v>
      </c>
      <c r="F7" s="17">
        <f t="shared" ref="F7" si="1">+E7/B7</f>
        <v>0.66696379303026443</v>
      </c>
      <c r="G7" s="153"/>
      <c r="H7" s="153"/>
      <c r="I7" s="153"/>
      <c r="J7" s="163"/>
      <c r="K7" s="163"/>
      <c r="L7" s="153"/>
      <c r="M7" s="153"/>
      <c r="N7" s="153"/>
    </row>
    <row r="8" spans="1:15" x14ac:dyDescent="0.25">
      <c r="A8" s="98" t="s">
        <v>88</v>
      </c>
      <c r="B8" s="99">
        <v>94374</v>
      </c>
      <c r="C8" s="99">
        <v>31649</v>
      </c>
      <c r="D8" s="17">
        <f t="shared" ref="D8:D23" si="2">+C8/B8</f>
        <v>0.33535719583783669</v>
      </c>
      <c r="E8" s="99">
        <v>62725</v>
      </c>
      <c r="F8" s="17">
        <f t="shared" ref="F8:F23" si="3">+E8/B8</f>
        <v>0.66464280416216326</v>
      </c>
      <c r="G8" s="153"/>
      <c r="H8" s="153"/>
      <c r="I8" s="153"/>
      <c r="J8" s="153"/>
      <c r="K8" s="163"/>
      <c r="L8" s="153"/>
      <c r="M8" s="153"/>
      <c r="N8" s="153"/>
    </row>
    <row r="9" spans="1:15" x14ac:dyDescent="0.25">
      <c r="A9" s="97" t="s">
        <v>87</v>
      </c>
      <c r="B9" s="99">
        <v>94222</v>
      </c>
      <c r="C9" s="99">
        <v>33258</v>
      </c>
      <c r="D9" s="17">
        <f>+C9/B9</f>
        <v>0.35297488909171953</v>
      </c>
      <c r="E9" s="99">
        <v>60964</v>
      </c>
      <c r="F9" s="17">
        <f>+E9/B9</f>
        <v>0.64702511090828041</v>
      </c>
      <c r="G9" s="153"/>
      <c r="H9" s="153"/>
      <c r="I9" s="153"/>
      <c r="J9" s="153"/>
      <c r="K9" s="153"/>
      <c r="L9" s="153"/>
      <c r="M9" s="153"/>
      <c r="N9" s="153"/>
    </row>
    <row r="10" spans="1:15" ht="24" customHeight="1" x14ac:dyDescent="0.25">
      <c r="A10" s="165" t="s">
        <v>226</v>
      </c>
      <c r="B10" s="8">
        <f>+AVERAGE(B7:B9)</f>
        <v>94277.333333333328</v>
      </c>
      <c r="C10" s="8">
        <f>+AVERAGE(C7:C9)</f>
        <v>32097</v>
      </c>
      <c r="D10" s="16">
        <f>+C10/B10</f>
        <v>0.34045298976070604</v>
      </c>
      <c r="E10" s="8">
        <f>+AVERAGE(E7:E9)</f>
        <v>62180.333333333336</v>
      </c>
      <c r="F10" s="16">
        <f>+E10/B10</f>
        <v>0.65954701023929407</v>
      </c>
      <c r="G10" s="153"/>
      <c r="H10" s="153"/>
      <c r="I10" s="153"/>
      <c r="J10" s="153"/>
      <c r="K10" s="166"/>
      <c r="L10" s="153"/>
      <c r="M10" s="153"/>
      <c r="N10" s="153"/>
    </row>
    <row r="11" spans="1:15" hidden="1" x14ac:dyDescent="0.25">
      <c r="A11" s="97" t="s">
        <v>36</v>
      </c>
      <c r="B11" s="99"/>
      <c r="C11" s="99"/>
      <c r="D11" s="17" t="e">
        <f t="shared" si="2"/>
        <v>#DIV/0!</v>
      </c>
      <c r="E11" s="99"/>
      <c r="F11" s="17" t="e">
        <f t="shared" si="3"/>
        <v>#DIV/0!</v>
      </c>
      <c r="G11" s="153"/>
      <c r="H11" s="153"/>
      <c r="I11" s="153"/>
      <c r="J11" s="163"/>
      <c r="K11" s="163"/>
      <c r="L11" s="153"/>
      <c r="M11" s="153"/>
      <c r="N11" s="153"/>
    </row>
    <row r="12" spans="1:15" hidden="1" x14ac:dyDescent="0.25">
      <c r="A12" s="98" t="s">
        <v>37</v>
      </c>
      <c r="B12" s="99"/>
      <c r="C12" s="99"/>
      <c r="D12" s="17" t="e">
        <f t="shared" si="2"/>
        <v>#DIV/0!</v>
      </c>
      <c r="E12" s="99"/>
      <c r="F12" s="17" t="e">
        <f t="shared" si="3"/>
        <v>#DIV/0!</v>
      </c>
      <c r="G12" s="153"/>
      <c r="H12" s="153"/>
      <c r="I12" s="153"/>
      <c r="J12" s="153"/>
      <c r="K12" s="163"/>
      <c r="L12" s="153"/>
      <c r="M12" s="153"/>
      <c r="N12" s="153"/>
    </row>
    <row r="13" spans="1:15" hidden="1" x14ac:dyDescent="0.25">
      <c r="A13" s="98" t="s">
        <v>38</v>
      </c>
      <c r="B13" s="99"/>
      <c r="C13" s="99"/>
      <c r="D13" s="17" t="e">
        <f t="shared" si="2"/>
        <v>#DIV/0!</v>
      </c>
      <c r="E13" s="99"/>
      <c r="F13" s="17" t="e">
        <f t="shared" si="3"/>
        <v>#DIV/0!</v>
      </c>
      <c r="G13" s="153"/>
      <c r="H13" s="153"/>
      <c r="I13" s="153"/>
      <c r="J13" s="153"/>
      <c r="K13" s="153"/>
      <c r="L13" s="153"/>
      <c r="M13" s="153"/>
      <c r="N13" s="153"/>
    </row>
    <row r="14" spans="1:15" ht="24" hidden="1" customHeight="1" x14ac:dyDescent="0.25">
      <c r="A14" s="165" t="s">
        <v>133</v>
      </c>
      <c r="B14" s="8" t="e">
        <f>+AVERAGE(B11:B13)</f>
        <v>#DIV/0!</v>
      </c>
      <c r="C14" s="8" t="e">
        <f>+AVERAGE(C11:C13)</f>
        <v>#DIV/0!</v>
      </c>
      <c r="D14" s="16" t="e">
        <f t="shared" si="2"/>
        <v>#DIV/0!</v>
      </c>
      <c r="E14" s="8" t="e">
        <f>+AVERAGE(E11:E13)</f>
        <v>#DIV/0!</v>
      </c>
      <c r="F14" s="16" t="e">
        <f t="shared" si="3"/>
        <v>#DIV/0!</v>
      </c>
      <c r="G14" s="153"/>
      <c r="H14" s="153"/>
      <c r="I14" s="153"/>
      <c r="J14" s="153"/>
      <c r="K14" s="166"/>
      <c r="L14" s="153"/>
      <c r="M14" s="153"/>
      <c r="N14" s="153"/>
    </row>
    <row r="15" spans="1:15" hidden="1" x14ac:dyDescent="0.25">
      <c r="A15" s="97" t="s">
        <v>87</v>
      </c>
      <c r="B15" s="99"/>
      <c r="C15" s="99"/>
      <c r="D15" s="17" t="e">
        <f t="shared" si="2"/>
        <v>#DIV/0!</v>
      </c>
      <c r="E15" s="99"/>
      <c r="F15" s="17" t="e">
        <f t="shared" si="3"/>
        <v>#DIV/0!</v>
      </c>
      <c r="G15" s="153"/>
      <c r="H15" s="153"/>
      <c r="I15" s="153"/>
      <c r="J15" s="163"/>
      <c r="K15" s="163"/>
      <c r="L15" s="153"/>
      <c r="M15" s="153"/>
      <c r="N15" s="153"/>
    </row>
    <row r="16" spans="1:15" hidden="1" x14ac:dyDescent="0.25">
      <c r="A16" s="98" t="s">
        <v>88</v>
      </c>
      <c r="B16" s="99"/>
      <c r="C16" s="99"/>
      <c r="D16" s="17" t="e">
        <f t="shared" si="2"/>
        <v>#DIV/0!</v>
      </c>
      <c r="E16" s="99"/>
      <c r="F16" s="17" t="e">
        <f t="shared" si="3"/>
        <v>#DIV/0!</v>
      </c>
      <c r="G16" s="153"/>
      <c r="H16" s="153"/>
      <c r="I16" s="153"/>
      <c r="J16" s="153"/>
      <c r="K16" s="163"/>
      <c r="L16" s="153"/>
      <c r="M16" s="153"/>
      <c r="N16" s="153"/>
    </row>
    <row r="17" spans="1:14" hidden="1" x14ac:dyDescent="0.25">
      <c r="A17" s="98" t="s">
        <v>89</v>
      </c>
      <c r="B17" s="99"/>
      <c r="C17" s="99"/>
      <c r="D17" s="17" t="e">
        <f t="shared" si="2"/>
        <v>#DIV/0!</v>
      </c>
      <c r="E17" s="99"/>
      <c r="F17" s="17" t="e">
        <f t="shared" si="3"/>
        <v>#DIV/0!</v>
      </c>
      <c r="G17" s="153"/>
      <c r="H17" s="153"/>
      <c r="I17" s="153"/>
      <c r="J17" s="153"/>
      <c r="K17" s="153"/>
      <c r="L17" s="153"/>
      <c r="M17" s="153"/>
      <c r="N17" s="153"/>
    </row>
    <row r="18" spans="1:14" ht="24" hidden="1" customHeight="1" x14ac:dyDescent="0.25">
      <c r="A18" s="165" t="s">
        <v>134</v>
      </c>
      <c r="B18" s="8" t="e">
        <f>+AVERAGE(B15:B17)</f>
        <v>#DIV/0!</v>
      </c>
      <c r="C18" s="8" t="e">
        <f>+AVERAGE(C15:C17)</f>
        <v>#DIV/0!</v>
      </c>
      <c r="D18" s="16" t="e">
        <f t="shared" si="2"/>
        <v>#DIV/0!</v>
      </c>
      <c r="E18" s="8" t="e">
        <f>+AVERAGE(E15:E17)</f>
        <v>#DIV/0!</v>
      </c>
      <c r="F18" s="16" t="e">
        <f t="shared" si="3"/>
        <v>#DIV/0!</v>
      </c>
      <c r="G18" s="153"/>
      <c r="H18" s="153"/>
      <c r="I18" s="153"/>
      <c r="J18" s="153"/>
      <c r="K18" s="166"/>
      <c r="L18" s="153"/>
      <c r="M18" s="153"/>
      <c r="N18" s="153"/>
    </row>
    <row r="19" spans="1:14" hidden="1" x14ac:dyDescent="0.25">
      <c r="A19" s="97" t="s">
        <v>90</v>
      </c>
      <c r="B19" s="99"/>
      <c r="C19" s="99"/>
      <c r="D19" s="17" t="e">
        <f t="shared" si="2"/>
        <v>#DIV/0!</v>
      </c>
      <c r="E19" s="99"/>
      <c r="F19" s="17" t="e">
        <f t="shared" si="3"/>
        <v>#DIV/0!</v>
      </c>
      <c r="G19" s="153"/>
      <c r="H19" s="153"/>
      <c r="I19" s="153"/>
      <c r="J19" s="163"/>
      <c r="K19" s="163"/>
      <c r="L19" s="153"/>
      <c r="M19" s="153"/>
      <c r="N19" s="153"/>
    </row>
    <row r="20" spans="1:14" hidden="1" x14ac:dyDescent="0.25">
      <c r="A20" s="98" t="s">
        <v>91</v>
      </c>
      <c r="B20" s="99"/>
      <c r="C20" s="99"/>
      <c r="D20" s="17" t="e">
        <f t="shared" si="2"/>
        <v>#DIV/0!</v>
      </c>
      <c r="E20" s="99"/>
      <c r="F20" s="17" t="e">
        <f t="shared" si="3"/>
        <v>#DIV/0!</v>
      </c>
      <c r="G20" s="153"/>
      <c r="H20" s="153"/>
      <c r="I20" s="153"/>
      <c r="J20" s="153"/>
      <c r="K20" s="163"/>
      <c r="L20" s="153"/>
      <c r="M20" s="153"/>
      <c r="N20" s="153"/>
    </row>
    <row r="21" spans="1:14" hidden="1" x14ac:dyDescent="0.25">
      <c r="A21" s="98" t="s">
        <v>92</v>
      </c>
      <c r="B21" s="99"/>
      <c r="C21" s="99"/>
      <c r="D21" s="17" t="e">
        <f t="shared" si="2"/>
        <v>#DIV/0!</v>
      </c>
      <c r="E21" s="99"/>
      <c r="F21" s="17" t="e">
        <f t="shared" si="3"/>
        <v>#DIV/0!</v>
      </c>
      <c r="G21" s="153"/>
      <c r="H21" s="153"/>
      <c r="I21" s="153"/>
      <c r="J21" s="153"/>
      <c r="K21" s="153"/>
      <c r="L21" s="153"/>
      <c r="M21" s="153"/>
      <c r="N21" s="153"/>
    </row>
    <row r="22" spans="1:14" ht="24" hidden="1" customHeight="1" x14ac:dyDescent="0.25">
      <c r="A22" s="165" t="s">
        <v>135</v>
      </c>
      <c r="B22" s="8" t="e">
        <f>+AVERAGE(B19:B21)</f>
        <v>#DIV/0!</v>
      </c>
      <c r="C22" s="8" t="e">
        <f>+AVERAGE(C19:C21)</f>
        <v>#DIV/0!</v>
      </c>
      <c r="D22" s="16" t="e">
        <f t="shared" si="2"/>
        <v>#DIV/0!</v>
      </c>
      <c r="E22" s="8" t="e">
        <f>+AVERAGE(E19:E21)</f>
        <v>#DIV/0!</v>
      </c>
      <c r="F22" s="16" t="e">
        <f t="shared" si="3"/>
        <v>#DIV/0!</v>
      </c>
      <c r="G22" s="153"/>
      <c r="H22" s="153"/>
      <c r="I22" s="153"/>
      <c r="J22" s="153"/>
      <c r="K22" s="166"/>
      <c r="L22" s="153"/>
      <c r="M22" s="153"/>
      <c r="N22" s="153"/>
    </row>
    <row r="23" spans="1:14" hidden="1" x14ac:dyDescent="0.25">
      <c r="A23" s="31" t="s">
        <v>9</v>
      </c>
      <c r="B23" s="10" t="e">
        <f>+AVERAGE(B10,B14,B18,B22)</f>
        <v>#DIV/0!</v>
      </c>
      <c r="C23" s="10" t="e">
        <f>+AVERAGE(C10,C14,C18,C22)</f>
        <v>#DIV/0!</v>
      </c>
      <c r="D23" s="18" t="e">
        <f t="shared" si="2"/>
        <v>#DIV/0!</v>
      </c>
      <c r="E23" s="10" t="e">
        <f>+AVERAGE(E10,E14,E18,E22,)</f>
        <v>#DIV/0!</v>
      </c>
      <c r="F23" s="18" t="e">
        <f t="shared" si="3"/>
        <v>#DIV/0!</v>
      </c>
      <c r="G23" s="153"/>
      <c r="H23" s="153"/>
      <c r="I23" s="153"/>
      <c r="J23" s="153"/>
      <c r="K23" s="166"/>
      <c r="L23" s="153"/>
      <c r="M23" s="153"/>
      <c r="N23" s="153"/>
    </row>
    <row r="24" spans="1:14" ht="12" customHeight="1" x14ac:dyDescent="0.25">
      <c r="A24" s="162" t="s">
        <v>174</v>
      </c>
      <c r="B24" s="162"/>
      <c r="C24" s="162"/>
      <c r="D24" s="162"/>
      <c r="E24" s="162"/>
      <c r="F24" s="162"/>
      <c r="G24" s="153"/>
      <c r="H24" s="153"/>
      <c r="I24" s="153"/>
      <c r="J24" s="153"/>
      <c r="K24" s="166"/>
      <c r="L24" s="153"/>
      <c r="M24" s="153"/>
      <c r="N24" s="153"/>
    </row>
    <row r="25" spans="1:14" ht="11.25" customHeight="1" x14ac:dyDescent="0.25">
      <c r="A25" s="167"/>
      <c r="B25" s="153"/>
      <c r="C25" s="153"/>
      <c r="D25" s="166"/>
      <c r="E25" s="153"/>
      <c r="F25" s="166"/>
      <c r="G25" s="153"/>
      <c r="H25" s="153"/>
      <c r="I25" s="153"/>
      <c r="J25" s="153"/>
      <c r="K25" s="166"/>
      <c r="L25" s="153"/>
      <c r="M25" s="153"/>
      <c r="N25" s="153"/>
    </row>
    <row r="26" spans="1:14" x14ac:dyDescent="0.25">
      <c r="A26" s="98"/>
      <c r="B26" s="99"/>
      <c r="C26" s="99"/>
      <c r="D26" s="17"/>
      <c r="E26" s="164"/>
      <c r="F26" s="17"/>
      <c r="G26" s="153"/>
      <c r="H26" s="153"/>
      <c r="I26" s="153"/>
      <c r="J26" s="153"/>
      <c r="K26" s="166"/>
      <c r="L26" s="153"/>
      <c r="M26" s="153"/>
      <c r="N26" s="153"/>
    </row>
    <row r="27" spans="1:14" x14ac:dyDescent="0.25">
      <c r="A27" s="97"/>
      <c r="B27" s="99"/>
      <c r="C27" s="99"/>
      <c r="D27" s="17"/>
      <c r="E27" s="99"/>
      <c r="F27" s="17"/>
      <c r="G27" s="153"/>
      <c r="H27" s="153"/>
      <c r="I27" s="153"/>
      <c r="J27" s="153"/>
      <c r="K27" s="153"/>
      <c r="L27" s="153"/>
      <c r="M27" s="153"/>
      <c r="N27" s="153"/>
    </row>
    <row r="28" spans="1:14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1:14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14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4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1:14" x14ac:dyDescent="0.2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</row>
    <row r="37" spans="1:14" x14ac:dyDescent="0.2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4" x14ac:dyDescent="0.2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4" x14ac:dyDescent="0.2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  <row r="40" spans="1:14" x14ac:dyDescent="0.2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x14ac:dyDescent="0.2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</row>
    <row r="42" spans="1:14" x14ac:dyDescent="0.25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x14ac:dyDescent="0.25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</row>
    <row r="44" spans="1:14" x14ac:dyDescent="0.2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</row>
    <row r="45" spans="1:14" x14ac:dyDescent="0.2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</row>
    <row r="46" spans="1:14" x14ac:dyDescent="0.2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</row>
  </sheetData>
  <mergeCells count="5">
    <mergeCell ref="A2:F2"/>
    <mergeCell ref="A3:F3"/>
    <mergeCell ref="A5:F5"/>
    <mergeCell ref="A1:F1"/>
    <mergeCell ref="A4:F4"/>
  </mergeCells>
  <pageMargins left="0.7" right="0.7" top="0.75" bottom="0.75" header="0.3" footer="0.3"/>
  <pageSetup paperSize="9" scale="56" orientation="portrait" r:id="rId1"/>
  <ignoredErrors>
    <ignoredError sqref="D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O46"/>
  <sheetViews>
    <sheetView showGridLines="0" topLeftCell="A7" zoomScale="85" zoomScaleNormal="85" workbookViewId="0">
      <selection activeCell="G11" sqref="G11"/>
    </sheetView>
  </sheetViews>
  <sheetFormatPr baseColWidth="10" defaultColWidth="11.42578125" defaultRowHeight="15" x14ac:dyDescent="0.25"/>
  <cols>
    <col min="1" max="1" width="21.7109375" style="1" bestFit="1" customWidth="1"/>
    <col min="2" max="2" width="14.5703125" style="1" customWidth="1"/>
    <col min="3" max="11" width="11.42578125" style="1"/>
    <col min="12" max="12" width="0" style="1" hidden="1" customWidth="1"/>
    <col min="13" max="13" width="12.85546875" style="1" hidden="1" customWidth="1"/>
    <col min="14" max="15" width="0" style="1" hidden="1" customWidth="1"/>
    <col min="16" max="16384" width="11.42578125" style="1"/>
  </cols>
  <sheetData>
    <row r="1" spans="1:15" x14ac:dyDescent="0.25">
      <c r="A1" s="244" t="s">
        <v>0</v>
      </c>
      <c r="B1" s="244"/>
      <c r="C1" s="244"/>
      <c r="D1" s="244"/>
      <c r="E1" s="244"/>
      <c r="F1" s="244"/>
    </row>
    <row r="2" spans="1:15" x14ac:dyDescent="0.25">
      <c r="A2" s="244" t="s">
        <v>123</v>
      </c>
      <c r="B2" s="244"/>
      <c r="C2" s="244"/>
      <c r="D2" s="244"/>
      <c r="E2" s="244"/>
      <c r="F2" s="244"/>
    </row>
    <row r="3" spans="1:15" x14ac:dyDescent="0.25">
      <c r="A3" s="244" t="s">
        <v>7</v>
      </c>
      <c r="B3" s="244"/>
      <c r="C3" s="244"/>
      <c r="D3" s="244"/>
      <c r="E3" s="244"/>
      <c r="F3" s="244"/>
    </row>
    <row r="4" spans="1:15" x14ac:dyDescent="0.25">
      <c r="A4" s="244" t="s">
        <v>225</v>
      </c>
      <c r="B4" s="244"/>
      <c r="C4" s="244"/>
      <c r="D4" s="244"/>
      <c r="E4" s="244"/>
      <c r="F4" s="244"/>
    </row>
    <row r="5" spans="1:15" x14ac:dyDescent="0.25">
      <c r="A5" s="246" t="s">
        <v>166</v>
      </c>
      <c r="B5" s="246"/>
      <c r="C5" s="246"/>
      <c r="D5" s="246"/>
      <c r="E5" s="246"/>
      <c r="F5" s="246"/>
    </row>
    <row r="6" spans="1:15" ht="30.75" customHeight="1" x14ac:dyDescent="0.25">
      <c r="A6" s="245" t="s">
        <v>165</v>
      </c>
      <c r="B6" s="245"/>
      <c r="C6" s="245"/>
      <c r="D6" s="245"/>
      <c r="E6" s="245"/>
      <c r="F6" s="245"/>
      <c r="G6" s="153"/>
      <c r="H6" s="153"/>
      <c r="I6" s="153"/>
      <c r="J6" s="153"/>
      <c r="K6" s="153"/>
    </row>
    <row r="7" spans="1:15" ht="15" customHeight="1" x14ac:dyDescent="0.25">
      <c r="A7" s="168"/>
      <c r="B7" s="169" t="s">
        <v>50</v>
      </c>
      <c r="C7" s="169" t="s">
        <v>8</v>
      </c>
      <c r="D7" s="169" t="s">
        <v>9</v>
      </c>
      <c r="E7" s="169" t="s">
        <v>99</v>
      </c>
      <c r="F7" s="169" t="s">
        <v>98</v>
      </c>
      <c r="G7" s="153"/>
      <c r="H7" s="153"/>
      <c r="I7" s="153"/>
      <c r="J7" s="153"/>
      <c r="K7" s="153"/>
      <c r="L7" s="1" t="s">
        <v>223</v>
      </c>
    </row>
    <row r="8" spans="1:15" x14ac:dyDescent="0.25">
      <c r="A8" s="58" t="s">
        <v>89</v>
      </c>
      <c r="B8" s="164">
        <v>25422</v>
      </c>
      <c r="C8" s="164">
        <v>5962</v>
      </c>
      <c r="D8" s="20">
        <f>+B8+C8</f>
        <v>31384</v>
      </c>
      <c r="E8" s="21">
        <f>B8/D8</f>
        <v>0.81003058883507517</v>
      </c>
      <c r="F8" s="21">
        <f>+C8/D8</f>
        <v>0.1899694111649248</v>
      </c>
      <c r="G8" s="153"/>
      <c r="H8" s="153"/>
      <c r="I8" s="153"/>
      <c r="J8" s="153"/>
      <c r="K8" s="153"/>
      <c r="L8" s="14">
        <v>29288</v>
      </c>
    </row>
    <row r="9" spans="1:15" x14ac:dyDescent="0.25">
      <c r="A9" s="58" t="s">
        <v>88</v>
      </c>
      <c r="B9" s="164">
        <v>25636</v>
      </c>
      <c r="C9" s="164">
        <v>6013</v>
      </c>
      <c r="D9" s="20">
        <f t="shared" ref="D9:D22" si="0">+B9+C9</f>
        <v>31649</v>
      </c>
      <c r="E9" s="21">
        <f>B9/D9</f>
        <v>0.81000979493822867</v>
      </c>
      <c r="F9" s="21">
        <f>+C9/D9</f>
        <v>0.18999020506177131</v>
      </c>
      <c r="G9" s="153"/>
      <c r="H9" s="153"/>
      <c r="I9" s="153"/>
      <c r="J9" s="153"/>
      <c r="K9" s="153"/>
      <c r="L9" s="14">
        <v>29900</v>
      </c>
      <c r="O9" s="14">
        <f>+D9-D8</f>
        <v>265</v>
      </c>
    </row>
    <row r="10" spans="1:15" x14ac:dyDescent="0.25">
      <c r="A10" s="58" t="s">
        <v>87</v>
      </c>
      <c r="B10" s="164">
        <v>26939</v>
      </c>
      <c r="C10" s="164">
        <v>6319</v>
      </c>
      <c r="D10" s="20">
        <f>+B10+C10</f>
        <v>33258</v>
      </c>
      <c r="E10" s="21">
        <f>B10/D10</f>
        <v>0.81000060135907148</v>
      </c>
      <c r="F10" s="21">
        <f>+C10/D10</f>
        <v>0.18999939864092849</v>
      </c>
      <c r="G10" s="153"/>
      <c r="H10" s="153"/>
      <c r="I10" s="153"/>
      <c r="J10" s="153"/>
      <c r="K10" s="153"/>
      <c r="L10" s="14">
        <v>30160</v>
      </c>
      <c r="O10" s="14">
        <f>+D10-D9</f>
        <v>1609</v>
      </c>
    </row>
    <row r="11" spans="1:15" ht="25.5" x14ac:dyDescent="0.25">
      <c r="A11" s="165" t="s">
        <v>134</v>
      </c>
      <c r="B11" s="8">
        <f>AVERAGE(B8:B10)</f>
        <v>25999</v>
      </c>
      <c r="C11" s="8">
        <f>AVERAGE(C8:C10)</f>
        <v>6098</v>
      </c>
      <c r="D11" s="8">
        <f>AVERAGE(D8:D10)</f>
        <v>32097</v>
      </c>
      <c r="E11" s="16">
        <f>+AVERAGE(E8:E10)</f>
        <v>0.8100136617107917</v>
      </c>
      <c r="F11" s="16">
        <f>+AVERAGE(F8:F10)</f>
        <v>0.18998633828920819</v>
      </c>
      <c r="G11" s="153"/>
      <c r="H11" s="153"/>
      <c r="I11" s="153"/>
      <c r="J11" s="153"/>
      <c r="K11" s="153"/>
      <c r="L11" s="14">
        <v>29782.666666666668</v>
      </c>
      <c r="M11" s="80">
        <f>+(D11-L11)/D11*100</f>
        <v>7.2104350354654079</v>
      </c>
      <c r="O11" s="14">
        <f>+D11-L11</f>
        <v>2314.3333333333321</v>
      </c>
    </row>
    <row r="12" spans="1:15" hidden="1" x14ac:dyDescent="0.25">
      <c r="A12" s="58" t="s">
        <v>36</v>
      </c>
      <c r="B12" s="170"/>
      <c r="C12" s="170"/>
      <c r="D12" s="20">
        <f>+B12+C12</f>
        <v>0</v>
      </c>
      <c r="E12" s="21" t="e">
        <f>+B12/D12</f>
        <v>#DIV/0!</v>
      </c>
      <c r="F12" s="21" t="e">
        <f>+C12/D12</f>
        <v>#DIV/0!</v>
      </c>
      <c r="G12" s="153"/>
      <c r="H12" s="153"/>
      <c r="I12" s="153"/>
      <c r="J12" s="153"/>
      <c r="K12" s="153"/>
    </row>
    <row r="13" spans="1:15" hidden="1" x14ac:dyDescent="0.25">
      <c r="A13" s="58" t="s">
        <v>37</v>
      </c>
      <c r="B13" s="170"/>
      <c r="C13" s="170"/>
      <c r="D13" s="20">
        <f t="shared" si="0"/>
        <v>0</v>
      </c>
      <c r="E13" s="21" t="e">
        <f>+B13/D13</f>
        <v>#DIV/0!</v>
      </c>
      <c r="F13" s="21" t="e">
        <f>+C13/D13</f>
        <v>#DIV/0!</v>
      </c>
      <c r="G13" s="153"/>
      <c r="H13" s="153"/>
      <c r="I13" s="153"/>
      <c r="J13" s="153"/>
      <c r="K13" s="153"/>
    </row>
    <row r="14" spans="1:15" hidden="1" x14ac:dyDescent="0.25">
      <c r="A14" s="58" t="s">
        <v>38</v>
      </c>
      <c r="B14" s="170"/>
      <c r="C14" s="170"/>
      <c r="D14" s="20">
        <f t="shared" si="0"/>
        <v>0</v>
      </c>
      <c r="E14" s="21" t="e">
        <f>+B14/D14</f>
        <v>#DIV/0!</v>
      </c>
      <c r="F14" s="21" t="e">
        <f>+C14/D14</f>
        <v>#DIV/0!</v>
      </c>
      <c r="G14" s="153"/>
      <c r="H14" s="153"/>
      <c r="I14" s="153"/>
      <c r="J14" s="153"/>
      <c r="K14" s="153"/>
    </row>
    <row r="15" spans="1:15" ht="25.5" hidden="1" x14ac:dyDescent="0.25">
      <c r="A15" s="165" t="s">
        <v>133</v>
      </c>
      <c r="B15" s="8" t="e">
        <f>AVERAGE(B12:B14)</f>
        <v>#DIV/0!</v>
      </c>
      <c r="C15" s="8" t="e">
        <f>AVERAGE(C12:C14)</f>
        <v>#DIV/0!</v>
      </c>
      <c r="D15" s="8">
        <f>AVERAGE(D12:D14)</f>
        <v>0</v>
      </c>
      <c r="E15" s="16" t="e">
        <f>+AVERAGE(E12:E14)</f>
        <v>#DIV/0!</v>
      </c>
      <c r="F15" s="16" t="e">
        <f>+AVERAGE(F12:F14)</f>
        <v>#DIV/0!</v>
      </c>
      <c r="G15" s="153"/>
      <c r="H15" s="153"/>
      <c r="I15" s="153"/>
      <c r="J15" s="153"/>
      <c r="K15" s="153"/>
    </row>
    <row r="16" spans="1:15" hidden="1" x14ac:dyDescent="0.25">
      <c r="A16" s="58" t="s">
        <v>87</v>
      </c>
      <c r="B16" s="170"/>
      <c r="C16" s="170"/>
      <c r="D16" s="20">
        <f t="shared" si="0"/>
        <v>0</v>
      </c>
      <c r="E16" s="21" t="e">
        <f>+B16/D16</f>
        <v>#DIV/0!</v>
      </c>
      <c r="F16" s="21" t="e">
        <f>+C16/D16</f>
        <v>#DIV/0!</v>
      </c>
      <c r="G16" s="153"/>
      <c r="H16" s="153"/>
      <c r="I16" s="153"/>
      <c r="J16" s="153"/>
      <c r="K16" s="153"/>
    </row>
    <row r="17" spans="1:13" hidden="1" x14ac:dyDescent="0.25">
      <c r="A17" s="58" t="s">
        <v>88</v>
      </c>
      <c r="B17" s="170"/>
      <c r="C17" s="170"/>
      <c r="D17" s="20">
        <f t="shared" si="0"/>
        <v>0</v>
      </c>
      <c r="E17" s="21" t="e">
        <f>+B17/D17</f>
        <v>#DIV/0!</v>
      </c>
      <c r="F17" s="21" t="e">
        <f>+C17/D17</f>
        <v>#DIV/0!</v>
      </c>
      <c r="G17" s="153"/>
      <c r="H17" s="153"/>
      <c r="I17" s="153"/>
      <c r="J17" s="153"/>
      <c r="K17" s="153"/>
    </row>
    <row r="18" spans="1:13" hidden="1" x14ac:dyDescent="0.25">
      <c r="A18" s="58" t="s">
        <v>89</v>
      </c>
      <c r="B18" s="170"/>
      <c r="C18" s="170"/>
      <c r="D18" s="20">
        <f t="shared" si="0"/>
        <v>0</v>
      </c>
      <c r="E18" s="21" t="e">
        <f>+B18/D18</f>
        <v>#DIV/0!</v>
      </c>
      <c r="F18" s="21" t="e">
        <f>+C18/D18</f>
        <v>#DIV/0!</v>
      </c>
      <c r="G18" s="153"/>
      <c r="H18" s="153"/>
      <c r="I18" s="153"/>
      <c r="J18" s="153"/>
      <c r="K18" s="153"/>
    </row>
    <row r="19" spans="1:13" ht="25.5" hidden="1" x14ac:dyDescent="0.25">
      <c r="A19" s="165" t="s">
        <v>134</v>
      </c>
      <c r="B19" s="8" t="e">
        <f>AVERAGE(B16:B18)</f>
        <v>#DIV/0!</v>
      </c>
      <c r="C19" s="8" t="e">
        <f>AVERAGE(C16:C18)</f>
        <v>#DIV/0!</v>
      </c>
      <c r="D19" s="8">
        <f>AVERAGE(D16:D18)</f>
        <v>0</v>
      </c>
      <c r="E19" s="16" t="e">
        <f>+AVERAGE(E16:E18)</f>
        <v>#DIV/0!</v>
      </c>
      <c r="F19" s="16" t="e">
        <f>+AVERAGE(F16:F18)</f>
        <v>#DIV/0!</v>
      </c>
      <c r="G19" s="153"/>
      <c r="H19" s="153"/>
      <c r="I19" s="153"/>
      <c r="J19" s="153"/>
      <c r="K19" s="153"/>
    </row>
    <row r="20" spans="1:13" hidden="1" x14ac:dyDescent="0.25">
      <c r="A20" s="58" t="s">
        <v>90</v>
      </c>
      <c r="B20" s="170"/>
      <c r="C20" s="170"/>
      <c r="D20" s="20">
        <f t="shared" si="0"/>
        <v>0</v>
      </c>
      <c r="E20" s="21" t="e">
        <f>+B20/D20</f>
        <v>#DIV/0!</v>
      </c>
      <c r="F20" s="21" t="e">
        <f>+C20/D20</f>
        <v>#DIV/0!</v>
      </c>
      <c r="G20" s="153"/>
      <c r="H20" s="153"/>
      <c r="I20" s="153"/>
      <c r="J20" s="153"/>
      <c r="K20" s="153"/>
    </row>
    <row r="21" spans="1:13" hidden="1" x14ac:dyDescent="0.25">
      <c r="A21" s="58" t="s">
        <v>91</v>
      </c>
      <c r="B21" s="170"/>
      <c r="C21" s="170"/>
      <c r="D21" s="20">
        <f t="shared" si="0"/>
        <v>0</v>
      </c>
      <c r="E21" s="21" t="e">
        <f>+B21/D21</f>
        <v>#DIV/0!</v>
      </c>
      <c r="F21" s="21" t="e">
        <f>+C21/D21</f>
        <v>#DIV/0!</v>
      </c>
      <c r="G21" s="153"/>
      <c r="H21" s="153"/>
      <c r="I21" s="153"/>
      <c r="J21" s="153"/>
      <c r="K21" s="153"/>
    </row>
    <row r="22" spans="1:13" hidden="1" x14ac:dyDescent="0.25">
      <c r="A22" s="58" t="s">
        <v>92</v>
      </c>
      <c r="B22" s="170"/>
      <c r="C22" s="170"/>
      <c r="D22" s="20">
        <f t="shared" si="0"/>
        <v>0</v>
      </c>
      <c r="E22" s="21" t="e">
        <f>+B22/D22</f>
        <v>#DIV/0!</v>
      </c>
      <c r="F22" s="21" t="e">
        <f>+C22/D22</f>
        <v>#DIV/0!</v>
      </c>
      <c r="G22" s="153"/>
      <c r="H22" s="153"/>
      <c r="I22" s="153"/>
      <c r="J22" s="153"/>
      <c r="K22" s="153"/>
    </row>
    <row r="23" spans="1:13" ht="25.5" hidden="1" x14ac:dyDescent="0.25">
      <c r="A23" s="165" t="s">
        <v>135</v>
      </c>
      <c r="B23" s="8" t="e">
        <f t="shared" ref="B23:D24" si="1">AVERAGE(B20:B22)</f>
        <v>#DIV/0!</v>
      </c>
      <c r="C23" s="8" t="e">
        <f t="shared" si="1"/>
        <v>#DIV/0!</v>
      </c>
      <c r="D23" s="8">
        <f t="shared" si="1"/>
        <v>0</v>
      </c>
      <c r="E23" s="16" t="e">
        <f>+AVERAGE(E20:E22)</f>
        <v>#DIV/0!</v>
      </c>
      <c r="F23" s="16" t="e">
        <f>+AVERAGE(F20:F22)</f>
        <v>#DIV/0!</v>
      </c>
      <c r="G23" s="153"/>
      <c r="H23" s="153"/>
      <c r="I23" s="153"/>
      <c r="J23" s="153"/>
      <c r="K23" s="153"/>
    </row>
    <row r="24" spans="1:13" hidden="1" x14ac:dyDescent="0.25">
      <c r="A24" s="31" t="s">
        <v>9</v>
      </c>
      <c r="B24" s="10" t="e">
        <f t="shared" si="1"/>
        <v>#DIV/0!</v>
      </c>
      <c r="C24" s="10" t="e">
        <f t="shared" si="1"/>
        <v>#DIV/0!</v>
      </c>
      <c r="D24" s="18">
        <f t="shared" si="1"/>
        <v>0</v>
      </c>
      <c r="E24" s="10" t="e">
        <f>+AVERAGE(E21:E23)</f>
        <v>#DIV/0!</v>
      </c>
      <c r="F24" s="18" t="e">
        <f>+AVERAGE(F21:F23)</f>
        <v>#DIV/0!</v>
      </c>
      <c r="G24" s="153"/>
      <c r="H24" s="153"/>
      <c r="I24" s="163"/>
      <c r="J24" s="163"/>
      <c r="K24" s="163"/>
    </row>
    <row r="25" spans="1:13" x14ac:dyDescent="0.25">
      <c r="A25" s="162" t="s">
        <v>174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M25" s="14">
        <f>+D11-L11</f>
        <v>2314.3333333333321</v>
      </c>
    </row>
    <row r="26" spans="1:13" x14ac:dyDescent="0.25">
      <c r="A26" s="167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9"/>
    </row>
    <row r="27" spans="1:13" x14ac:dyDescent="0.2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3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  <row r="29" spans="1:13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  <row r="30" spans="1:13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</row>
    <row r="31" spans="1:13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3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</row>
    <row r="33" spans="1:11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11" x14ac:dyDescent="0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</row>
    <row r="35" spans="1:11" x14ac:dyDescent="0.2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</row>
    <row r="36" spans="1:11" x14ac:dyDescent="0.2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</row>
    <row r="37" spans="1:11" x14ac:dyDescent="0.2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</row>
    <row r="38" spans="1:11" x14ac:dyDescent="0.2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</row>
    <row r="39" spans="1:11" x14ac:dyDescent="0.2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</row>
    <row r="45" spans="1:11" x14ac:dyDescent="0.25">
      <c r="A45" s="58"/>
      <c r="B45" s="164"/>
      <c r="C45" s="164"/>
      <c r="D45" s="20"/>
      <c r="E45" s="21"/>
      <c r="F45" s="21"/>
    </row>
    <row r="46" spans="1:11" x14ac:dyDescent="0.25">
      <c r="A46" s="58"/>
      <c r="B46" s="164"/>
      <c r="C46" s="164"/>
      <c r="D46" s="20"/>
      <c r="E46" s="21"/>
      <c r="F46" s="21"/>
    </row>
  </sheetData>
  <mergeCells count="6">
    <mergeCell ref="A6:F6"/>
    <mergeCell ref="A1:F1"/>
    <mergeCell ref="A2:F2"/>
    <mergeCell ref="A3:F3"/>
    <mergeCell ref="A5:F5"/>
    <mergeCell ref="A4:F4"/>
  </mergeCells>
  <pageMargins left="0.7" right="0.7" top="0.75" bottom="0.75" header="0.3" footer="0.3"/>
  <pageSetup paperSize="9" scale="62" orientation="portrait" r:id="rId1"/>
  <ignoredErrors>
    <ignoredError sqref="F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K42"/>
  <sheetViews>
    <sheetView showGridLines="0" topLeftCell="A5" zoomScaleNormal="100" workbookViewId="0">
      <selection activeCell="C27" sqref="C27"/>
    </sheetView>
  </sheetViews>
  <sheetFormatPr baseColWidth="10" defaultColWidth="11.42578125" defaultRowHeight="15" x14ac:dyDescent="0.25"/>
  <cols>
    <col min="1" max="1" width="11.42578125" style="1"/>
    <col min="2" max="2" width="13.5703125" style="1" customWidth="1"/>
    <col min="3" max="3" width="14" style="1" customWidth="1"/>
    <col min="4" max="4" width="14.7109375" style="1" bestFit="1" customWidth="1"/>
    <col min="5" max="16384" width="11.42578125" style="1"/>
  </cols>
  <sheetData>
    <row r="1" spans="1:11" x14ac:dyDescent="0.25">
      <c r="A1" s="244" t="s">
        <v>0</v>
      </c>
      <c r="B1" s="244"/>
      <c r="C1" s="244"/>
      <c r="D1" s="244"/>
      <c r="E1" s="22"/>
      <c r="F1" s="22"/>
    </row>
    <row r="2" spans="1:11" x14ac:dyDescent="0.25">
      <c r="A2" s="244" t="s">
        <v>123</v>
      </c>
      <c r="B2" s="244"/>
      <c r="C2" s="244"/>
      <c r="D2" s="244"/>
      <c r="E2" s="23"/>
      <c r="F2" s="23"/>
    </row>
    <row r="3" spans="1:11" x14ac:dyDescent="0.25">
      <c r="A3" s="244" t="s">
        <v>14</v>
      </c>
      <c r="B3" s="244"/>
      <c r="C3" s="244"/>
      <c r="D3" s="244"/>
      <c r="E3" s="23"/>
      <c r="F3" s="23"/>
    </row>
    <row r="4" spans="1:11" x14ac:dyDescent="0.25">
      <c r="A4" s="244" t="s">
        <v>225</v>
      </c>
      <c r="B4" s="244"/>
      <c r="C4" s="244"/>
      <c r="D4" s="244"/>
      <c r="E4" s="22"/>
      <c r="F4" s="22"/>
    </row>
    <row r="5" spans="1:11" x14ac:dyDescent="0.25">
      <c r="A5" s="246" t="s">
        <v>166</v>
      </c>
      <c r="B5" s="246"/>
      <c r="C5" s="246"/>
      <c r="D5" s="246"/>
      <c r="E5" s="24"/>
      <c r="F5" s="24"/>
    </row>
    <row r="6" spans="1:11" x14ac:dyDescent="0.25">
      <c r="A6" s="245" t="s">
        <v>173</v>
      </c>
      <c r="B6" s="245"/>
      <c r="C6" s="245"/>
      <c r="D6" s="245"/>
      <c r="E6" s="46"/>
      <c r="F6" s="153"/>
      <c r="G6" s="153"/>
      <c r="H6" s="153"/>
      <c r="I6" s="153"/>
      <c r="J6" s="153"/>
      <c r="K6" s="153"/>
    </row>
    <row r="7" spans="1:11" x14ac:dyDescent="0.25">
      <c r="A7" s="168"/>
      <c r="B7" s="152" t="s">
        <v>138</v>
      </c>
      <c r="C7" s="169" t="s">
        <v>139</v>
      </c>
      <c r="D7" s="169" t="s">
        <v>140</v>
      </c>
      <c r="E7" s="153"/>
      <c r="F7" s="153"/>
      <c r="G7" s="153"/>
      <c r="H7" s="153"/>
      <c r="I7" s="153"/>
      <c r="J7" s="153"/>
      <c r="K7" s="153"/>
    </row>
    <row r="8" spans="1:11" x14ac:dyDescent="0.25">
      <c r="A8" s="58" t="s">
        <v>89</v>
      </c>
      <c r="B8" s="171">
        <v>95868987</v>
      </c>
      <c r="C8" s="173">
        <v>13775377</v>
      </c>
      <c r="D8" s="29">
        <f>+B8+C8</f>
        <v>109644364</v>
      </c>
      <c r="E8" s="153"/>
      <c r="F8" s="172"/>
      <c r="G8" s="172"/>
      <c r="H8" s="153"/>
      <c r="I8" s="153"/>
      <c r="J8" s="153"/>
      <c r="K8" s="153"/>
    </row>
    <row r="9" spans="1:11" x14ac:dyDescent="0.25">
      <c r="A9" s="58" t="s">
        <v>88</v>
      </c>
      <c r="B9" s="171">
        <v>105181100</v>
      </c>
      <c r="C9" s="171">
        <v>12999911.300000001</v>
      </c>
      <c r="D9" s="29">
        <f>+B9+C9</f>
        <v>118181011.3</v>
      </c>
      <c r="E9" s="153"/>
      <c r="F9" s="153"/>
      <c r="G9" s="153"/>
      <c r="H9" s="153"/>
      <c r="I9" s="153"/>
      <c r="J9" s="153"/>
      <c r="K9" s="153"/>
    </row>
    <row r="10" spans="1:11" x14ac:dyDescent="0.25">
      <c r="A10" s="58" t="s">
        <v>87</v>
      </c>
      <c r="B10" s="171">
        <v>95313166.099999994</v>
      </c>
      <c r="C10" s="171">
        <v>14242197</v>
      </c>
      <c r="D10" s="29">
        <f>+B10+C10</f>
        <v>109555363.09999999</v>
      </c>
      <c r="E10" s="153"/>
      <c r="F10" s="153"/>
      <c r="G10" s="153"/>
      <c r="H10" s="153"/>
      <c r="I10" s="153"/>
      <c r="J10" s="153"/>
      <c r="K10" s="153"/>
    </row>
    <row r="11" spans="1:11" x14ac:dyDescent="0.25">
      <c r="A11" s="30" t="s">
        <v>94</v>
      </c>
      <c r="B11" s="8">
        <f>SUM(B8:B10)</f>
        <v>296363253.10000002</v>
      </c>
      <c r="C11" s="8">
        <f>SUM(C8:C10)</f>
        <v>41017485.299999997</v>
      </c>
      <c r="D11" s="8">
        <f>SUM(D8:D10)</f>
        <v>337380738.39999998</v>
      </c>
      <c r="E11" s="153"/>
      <c r="F11" s="153"/>
      <c r="G11" s="153"/>
      <c r="H11" s="153"/>
      <c r="I11" s="153"/>
      <c r="J11" s="153"/>
      <c r="K11" s="153"/>
    </row>
    <row r="12" spans="1:11" hidden="1" x14ac:dyDescent="0.25">
      <c r="A12" s="58" t="s">
        <v>36</v>
      </c>
      <c r="B12" s="174"/>
      <c r="C12" s="174"/>
      <c r="D12" s="29">
        <f>+B12+C12</f>
        <v>0</v>
      </c>
      <c r="E12" s="153"/>
      <c r="F12" s="172"/>
      <c r="G12" s="172"/>
      <c r="H12" s="153"/>
      <c r="I12" s="153"/>
      <c r="J12" s="153"/>
      <c r="K12" s="153"/>
    </row>
    <row r="13" spans="1:11" hidden="1" x14ac:dyDescent="0.25">
      <c r="A13" s="58" t="s">
        <v>37</v>
      </c>
      <c r="B13" s="174"/>
      <c r="C13" s="174"/>
      <c r="D13" s="29">
        <f>+B13+C13</f>
        <v>0</v>
      </c>
      <c r="E13" s="153"/>
      <c r="F13" s="153"/>
      <c r="G13" s="153"/>
      <c r="H13" s="153"/>
      <c r="I13" s="153"/>
      <c r="J13" s="153"/>
      <c r="K13" s="153"/>
    </row>
    <row r="14" spans="1:11" hidden="1" x14ac:dyDescent="0.25">
      <c r="A14" s="58" t="s">
        <v>38</v>
      </c>
      <c r="B14" s="174"/>
      <c r="C14" s="173"/>
      <c r="D14" s="29">
        <f>+B14+C14</f>
        <v>0</v>
      </c>
      <c r="E14" s="153"/>
      <c r="F14" s="153"/>
      <c r="G14" s="153"/>
      <c r="H14" s="153"/>
      <c r="I14" s="153"/>
      <c r="J14" s="153"/>
      <c r="K14" s="153"/>
    </row>
    <row r="15" spans="1:11" hidden="1" x14ac:dyDescent="0.25">
      <c r="A15" s="30" t="s">
        <v>131</v>
      </c>
      <c r="B15" s="8">
        <f>SUM(B12:B14)</f>
        <v>0</v>
      </c>
      <c r="C15" s="8">
        <f>SUM(C12:C14)</f>
        <v>0</v>
      </c>
      <c r="D15" s="8">
        <f>SUM(D12:D14)</f>
        <v>0</v>
      </c>
      <c r="E15" s="153"/>
      <c r="F15" s="153"/>
      <c r="G15" s="153"/>
      <c r="H15" s="153"/>
      <c r="I15" s="153"/>
      <c r="J15" s="153"/>
      <c r="K15" s="153"/>
    </row>
    <row r="16" spans="1:11" hidden="1" x14ac:dyDescent="0.25">
      <c r="A16" s="58" t="s">
        <v>87</v>
      </c>
      <c r="B16" s="174"/>
      <c r="C16" s="174"/>
      <c r="D16" s="29">
        <f>+B16+C16</f>
        <v>0</v>
      </c>
      <c r="E16" s="153"/>
      <c r="F16" s="172"/>
      <c r="G16" s="172"/>
      <c r="H16" s="153"/>
      <c r="I16" s="153"/>
      <c r="J16" s="153"/>
      <c r="K16" s="153"/>
    </row>
    <row r="17" spans="1:11" hidden="1" x14ac:dyDescent="0.25">
      <c r="A17" s="58" t="s">
        <v>88</v>
      </c>
      <c r="B17" s="174"/>
      <c r="C17" s="174"/>
      <c r="D17" s="29">
        <f>+B17+C17</f>
        <v>0</v>
      </c>
      <c r="E17" s="153"/>
      <c r="F17" s="153"/>
      <c r="G17" s="153"/>
      <c r="H17" s="153"/>
      <c r="I17" s="153"/>
      <c r="J17" s="153"/>
      <c r="K17" s="153"/>
    </row>
    <row r="18" spans="1:11" hidden="1" x14ac:dyDescent="0.25">
      <c r="A18" s="58" t="s">
        <v>89</v>
      </c>
      <c r="B18" s="174"/>
      <c r="C18" s="173"/>
      <c r="D18" s="29">
        <f>+B18+C18</f>
        <v>0</v>
      </c>
      <c r="E18" s="153"/>
      <c r="F18" s="153"/>
      <c r="G18" s="153"/>
      <c r="H18" s="153"/>
      <c r="I18" s="153"/>
      <c r="J18" s="153"/>
      <c r="K18" s="153"/>
    </row>
    <row r="19" spans="1:11" hidden="1" x14ac:dyDescent="0.25">
      <c r="A19" s="30" t="s">
        <v>94</v>
      </c>
      <c r="B19" s="8">
        <f>SUM(B16:B18)</f>
        <v>0</v>
      </c>
      <c r="C19" s="8">
        <f>SUM(C16:C18)</f>
        <v>0</v>
      </c>
      <c r="D19" s="8">
        <f>SUM(D16:D18)</f>
        <v>0</v>
      </c>
      <c r="E19" s="153"/>
      <c r="F19" s="153"/>
      <c r="G19" s="153"/>
      <c r="H19" s="153"/>
      <c r="I19" s="153"/>
      <c r="J19" s="153"/>
      <c r="K19" s="153"/>
    </row>
    <row r="20" spans="1:11" hidden="1" x14ac:dyDescent="0.25">
      <c r="A20" s="58" t="s">
        <v>90</v>
      </c>
      <c r="B20" s="174"/>
      <c r="C20" s="174"/>
      <c r="D20" s="29">
        <f>+B20+C20</f>
        <v>0</v>
      </c>
      <c r="E20" s="153"/>
      <c r="F20" s="172"/>
      <c r="G20" s="172"/>
      <c r="H20" s="153"/>
      <c r="I20" s="153"/>
      <c r="J20" s="153"/>
      <c r="K20" s="153"/>
    </row>
    <row r="21" spans="1:11" hidden="1" x14ac:dyDescent="0.25">
      <c r="A21" s="58" t="s">
        <v>91</v>
      </c>
      <c r="B21" s="174"/>
      <c r="C21" s="174"/>
      <c r="D21" s="29">
        <f>+B21+C21</f>
        <v>0</v>
      </c>
      <c r="E21" s="153"/>
      <c r="F21" s="153"/>
      <c r="G21" s="153"/>
      <c r="H21" s="153"/>
      <c r="I21" s="153"/>
      <c r="J21" s="153"/>
      <c r="K21" s="153"/>
    </row>
    <row r="22" spans="1:11" hidden="1" x14ac:dyDescent="0.25">
      <c r="A22" s="58" t="s">
        <v>92</v>
      </c>
      <c r="B22" s="174"/>
      <c r="C22" s="173"/>
      <c r="D22" s="29">
        <f>+B22+C22</f>
        <v>0</v>
      </c>
      <c r="E22" s="153"/>
      <c r="F22" s="153"/>
      <c r="G22" s="153"/>
      <c r="H22" s="153"/>
      <c r="I22" s="153"/>
      <c r="J22" s="153"/>
      <c r="K22" s="153"/>
    </row>
    <row r="23" spans="1:11" hidden="1" x14ac:dyDescent="0.25">
      <c r="A23" s="30" t="s">
        <v>95</v>
      </c>
      <c r="B23" s="8">
        <f>SUM(B20:B22)</f>
        <v>0</v>
      </c>
      <c r="C23" s="8">
        <f>SUM(C20:C22)</f>
        <v>0</v>
      </c>
      <c r="D23" s="8">
        <f>SUM(D20:D22)</f>
        <v>0</v>
      </c>
      <c r="E23" s="153"/>
      <c r="F23" s="153"/>
      <c r="G23" s="153"/>
      <c r="H23" s="153"/>
      <c r="I23" s="153"/>
      <c r="J23" s="153"/>
      <c r="K23" s="153"/>
    </row>
    <row r="24" spans="1:11" hidden="1" x14ac:dyDescent="0.25">
      <c r="A24" s="31" t="s">
        <v>9</v>
      </c>
      <c r="B24" s="26">
        <f>+B11+B15+B19+B23</f>
        <v>296363253.10000002</v>
      </c>
      <c r="C24" s="26">
        <f>+C11+C15+C19+C23</f>
        <v>41017485.299999997</v>
      </c>
      <c r="D24" s="26">
        <f>+D11+D15+D19+D23</f>
        <v>337380738.39999998</v>
      </c>
      <c r="E24" s="153"/>
      <c r="F24" s="153"/>
      <c r="G24" s="153"/>
      <c r="H24" s="153"/>
      <c r="I24" s="153"/>
      <c r="J24" s="153"/>
      <c r="K24" s="153"/>
    </row>
    <row r="25" spans="1:11" x14ac:dyDescent="0.25">
      <c r="A25" s="175" t="s">
        <v>41</v>
      </c>
      <c r="B25" s="27">
        <f>B11/D11</f>
        <v>0.87842374910161747</v>
      </c>
      <c r="C25" s="27">
        <f>C11/D11</f>
        <v>0.12157625089838264</v>
      </c>
      <c r="D25" s="28"/>
      <c r="E25" s="153"/>
      <c r="F25" s="153"/>
      <c r="G25" s="153"/>
      <c r="H25" s="153"/>
      <c r="I25" s="153"/>
      <c r="J25" s="153"/>
      <c r="K25" s="153"/>
    </row>
    <row r="26" spans="1:11" x14ac:dyDescent="0.25">
      <c r="A26" s="162" t="s">
        <v>174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</row>
    <row r="27" spans="1:11" x14ac:dyDescent="0.25">
      <c r="A27" s="167"/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1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  <row r="29" spans="1:11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  <row r="30" spans="1:11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</row>
    <row r="31" spans="1:11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</row>
    <row r="33" spans="1:11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11" x14ac:dyDescent="0.25">
      <c r="A34" s="153"/>
      <c r="B34" s="153"/>
      <c r="C34" s="153"/>
      <c r="D34" s="153"/>
      <c r="E34" s="153"/>
      <c r="F34" s="153"/>
      <c r="G34" s="176"/>
      <c r="H34" s="176"/>
      <c r="I34" s="176"/>
      <c r="J34" s="176"/>
      <c r="K34" s="162"/>
    </row>
    <row r="35" spans="1:11" x14ac:dyDescent="0.2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</row>
    <row r="36" spans="1:11" x14ac:dyDescent="0.2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</row>
    <row r="37" spans="1:11" x14ac:dyDescent="0.2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</row>
    <row r="38" spans="1:11" x14ac:dyDescent="0.2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</row>
    <row r="39" spans="1:11" x14ac:dyDescent="0.2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</row>
    <row r="40" spans="1:11" x14ac:dyDescent="0.2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  <row r="41" spans="1:11" x14ac:dyDescent="0.25">
      <c r="A41" s="58"/>
      <c r="B41" s="171"/>
      <c r="C41" s="173"/>
      <c r="D41" s="29"/>
    </row>
    <row r="42" spans="1:11" x14ac:dyDescent="0.25">
      <c r="A42" s="58"/>
      <c r="B42" s="171"/>
      <c r="C42" s="171"/>
      <c r="D42" s="29"/>
    </row>
  </sheetData>
  <mergeCells count="6">
    <mergeCell ref="A6:D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71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G47"/>
  <sheetViews>
    <sheetView showGridLines="0" topLeftCell="A4" zoomScaleNormal="100" zoomScaleSheetLayoutView="115" workbookViewId="0">
      <selection activeCell="C11" sqref="C11"/>
    </sheetView>
  </sheetViews>
  <sheetFormatPr baseColWidth="10" defaultColWidth="11.42578125" defaultRowHeight="15" x14ac:dyDescent="0.25"/>
  <cols>
    <col min="1" max="1" width="21.42578125" style="1" customWidth="1"/>
    <col min="2" max="2" width="15.85546875" style="1" customWidth="1"/>
    <col min="3" max="3" width="21.140625" style="1" customWidth="1"/>
    <col min="4" max="4" width="16.7109375" style="1" customWidth="1"/>
    <col min="5" max="16384" width="11.42578125" style="1"/>
  </cols>
  <sheetData>
    <row r="1" spans="1:7" x14ac:dyDescent="0.25">
      <c r="A1" s="244" t="s">
        <v>0</v>
      </c>
      <c r="B1" s="244"/>
      <c r="C1" s="244"/>
      <c r="D1" s="244"/>
    </row>
    <row r="2" spans="1:7" x14ac:dyDescent="0.25">
      <c r="A2" s="244" t="s">
        <v>123</v>
      </c>
      <c r="B2" s="244"/>
      <c r="C2" s="244"/>
      <c r="D2" s="244"/>
    </row>
    <row r="3" spans="1:7" x14ac:dyDescent="0.25">
      <c r="A3" s="244" t="s">
        <v>10</v>
      </c>
      <c r="B3" s="244"/>
      <c r="C3" s="244"/>
      <c r="D3" s="244"/>
    </row>
    <row r="4" spans="1:7" x14ac:dyDescent="0.25">
      <c r="A4" s="244" t="s">
        <v>225</v>
      </c>
      <c r="B4" s="244"/>
      <c r="C4" s="244"/>
      <c r="D4" s="244"/>
    </row>
    <row r="5" spans="1:7" x14ac:dyDescent="0.25">
      <c r="A5" s="246" t="s">
        <v>166</v>
      </c>
      <c r="B5" s="246"/>
      <c r="C5" s="246"/>
      <c r="D5" s="246"/>
    </row>
    <row r="6" spans="1:7" x14ac:dyDescent="0.25">
      <c r="A6" s="245" t="s">
        <v>10</v>
      </c>
      <c r="B6" s="245"/>
      <c r="C6" s="245"/>
      <c r="D6" s="245"/>
      <c r="E6" s="153"/>
      <c r="F6" s="153"/>
      <c r="G6" s="153"/>
    </row>
    <row r="7" spans="1:7" x14ac:dyDescent="0.25">
      <c r="A7" s="168" t="s">
        <v>11</v>
      </c>
      <c r="B7" s="169" t="s">
        <v>12</v>
      </c>
      <c r="C7" s="169" t="s">
        <v>142</v>
      </c>
      <c r="D7" s="169" t="s">
        <v>143</v>
      </c>
      <c r="E7" s="153"/>
      <c r="F7" s="153"/>
      <c r="G7" s="153"/>
    </row>
    <row r="8" spans="1:7" x14ac:dyDescent="0.25">
      <c r="A8" s="58" t="s">
        <v>89</v>
      </c>
      <c r="B8" s="177">
        <v>33346</v>
      </c>
      <c r="C8" s="170">
        <f>+B8-B9</f>
        <v>-7794</v>
      </c>
      <c r="D8" s="179">
        <f>+(B8-B9)/B9</f>
        <v>-0.18945065629557609</v>
      </c>
      <c r="E8" s="153"/>
      <c r="F8" s="153"/>
      <c r="G8" s="153"/>
    </row>
    <row r="9" spans="1:7" x14ac:dyDescent="0.25">
      <c r="A9" s="58" t="s">
        <v>88</v>
      </c>
      <c r="B9" s="178">
        <v>41140</v>
      </c>
      <c r="C9" s="170">
        <f>+B9-B10</f>
        <v>5983</v>
      </c>
      <c r="D9" s="21">
        <f>+(B9-B10)/B10</f>
        <v>0.17017948061552465</v>
      </c>
      <c r="E9" s="153"/>
      <c r="F9" s="153"/>
      <c r="G9" s="153"/>
    </row>
    <row r="10" spans="1:7" x14ac:dyDescent="0.25">
      <c r="A10" s="58" t="s">
        <v>87</v>
      </c>
      <c r="B10" s="177">
        <v>35157</v>
      </c>
      <c r="C10" s="170">
        <f>+B10-33768</f>
        <v>1389</v>
      </c>
      <c r="D10" s="21">
        <f>+(B10-33768)/33768</f>
        <v>4.1133617626154938E-2</v>
      </c>
      <c r="E10" s="153"/>
      <c r="F10" s="153"/>
      <c r="G10" s="153"/>
    </row>
    <row r="11" spans="1:7" x14ac:dyDescent="0.25">
      <c r="A11" s="30" t="s">
        <v>94</v>
      </c>
      <c r="B11" s="8">
        <f>SUM(B8:B10)</f>
        <v>109643</v>
      </c>
      <c r="C11" s="8">
        <f>+B11-101087</f>
        <v>8556</v>
      </c>
      <c r="D11" s="16">
        <f>(B11-101087)/101087</f>
        <v>8.4639963595714587E-2</v>
      </c>
      <c r="E11" s="153"/>
      <c r="F11" s="163"/>
      <c r="G11" s="172"/>
    </row>
    <row r="12" spans="1:7" hidden="1" x14ac:dyDescent="0.25">
      <c r="A12" s="58" t="s">
        <v>36</v>
      </c>
      <c r="B12" s="177"/>
      <c r="C12" s="180">
        <f>+B12-B10</f>
        <v>-35157</v>
      </c>
      <c r="D12" s="153"/>
      <c r="E12" s="153"/>
      <c r="F12" s="153"/>
      <c r="G12" s="153"/>
    </row>
    <row r="13" spans="1:7" hidden="1" x14ac:dyDescent="0.25">
      <c r="A13" s="58" t="s">
        <v>37</v>
      </c>
      <c r="B13" s="177"/>
      <c r="C13" s="180">
        <f>+B13-B12</f>
        <v>0</v>
      </c>
      <c r="D13" s="153"/>
      <c r="E13" s="153"/>
      <c r="F13" s="153"/>
      <c r="G13" s="153"/>
    </row>
    <row r="14" spans="1:7" hidden="1" x14ac:dyDescent="0.25">
      <c r="A14" s="58" t="s">
        <v>38</v>
      </c>
      <c r="B14" s="177"/>
      <c r="C14" s="180">
        <f>+B14-B13</f>
        <v>0</v>
      </c>
      <c r="D14" s="153"/>
      <c r="E14" s="153"/>
      <c r="F14" s="153"/>
      <c r="G14" s="153"/>
    </row>
    <row r="15" spans="1:7" hidden="1" x14ac:dyDescent="0.25">
      <c r="A15" s="30" t="s">
        <v>131</v>
      </c>
      <c r="B15" s="8">
        <f>SUM(B12:B14)</f>
        <v>0</v>
      </c>
      <c r="C15" s="78">
        <f>+B15-B11</f>
        <v>-109643</v>
      </c>
      <c r="D15" s="16">
        <f>+(B15-B11)/B11</f>
        <v>-1</v>
      </c>
      <c r="E15" s="153"/>
      <c r="F15" s="163"/>
      <c r="G15" s="153"/>
    </row>
    <row r="16" spans="1:7" hidden="1" x14ac:dyDescent="0.25">
      <c r="A16" s="58" t="s">
        <v>87</v>
      </c>
      <c r="B16" s="177"/>
      <c r="C16" s="180">
        <f>+B16-B14</f>
        <v>0</v>
      </c>
      <c r="D16" s="153"/>
      <c r="E16" s="153"/>
      <c r="F16" s="153"/>
      <c r="G16" s="153"/>
    </row>
    <row r="17" spans="1:7" hidden="1" x14ac:dyDescent="0.25">
      <c r="A17" s="58" t="s">
        <v>88</v>
      </c>
      <c r="B17" s="177"/>
      <c r="C17" s="180">
        <f>+B17-B16</f>
        <v>0</v>
      </c>
      <c r="D17" s="153"/>
      <c r="E17" s="153"/>
      <c r="F17" s="153"/>
      <c r="G17" s="153"/>
    </row>
    <row r="18" spans="1:7" hidden="1" x14ac:dyDescent="0.25">
      <c r="A18" s="58" t="s">
        <v>89</v>
      </c>
      <c r="B18" s="177"/>
      <c r="C18" s="180">
        <f>+B18-B17</f>
        <v>0</v>
      </c>
      <c r="D18" s="153"/>
      <c r="E18" s="153"/>
      <c r="F18" s="153"/>
      <c r="G18" s="153"/>
    </row>
    <row r="19" spans="1:7" hidden="1" x14ac:dyDescent="0.25">
      <c r="A19" s="30" t="s">
        <v>94</v>
      </c>
      <c r="B19" s="8">
        <f>SUM(B16:B18)</f>
        <v>0</v>
      </c>
      <c r="C19" s="78">
        <f>+B19-B15</f>
        <v>0</v>
      </c>
      <c r="D19" s="78" t="e">
        <f>+(B19-B15)/B15</f>
        <v>#DIV/0!</v>
      </c>
      <c r="E19" s="153"/>
      <c r="F19" s="163"/>
      <c r="G19" s="153"/>
    </row>
    <row r="20" spans="1:7" hidden="1" x14ac:dyDescent="0.25">
      <c r="A20" s="58" t="s">
        <v>90</v>
      </c>
      <c r="B20" s="177"/>
      <c r="C20" s="180">
        <f>+B20-B18</f>
        <v>0</v>
      </c>
      <c r="D20" s="153"/>
      <c r="E20" s="153"/>
      <c r="F20" s="153"/>
      <c r="G20" s="153"/>
    </row>
    <row r="21" spans="1:7" hidden="1" x14ac:dyDescent="0.25">
      <c r="A21" s="58" t="s">
        <v>91</v>
      </c>
      <c r="B21" s="177"/>
      <c r="C21" s="180">
        <f>+B21-B20</f>
        <v>0</v>
      </c>
      <c r="D21" s="153"/>
      <c r="E21" s="153"/>
      <c r="F21" s="153"/>
      <c r="G21" s="153"/>
    </row>
    <row r="22" spans="1:7" hidden="1" x14ac:dyDescent="0.25">
      <c r="A22" s="58" t="s">
        <v>92</v>
      </c>
      <c r="B22" s="177"/>
      <c r="C22" s="180">
        <f>+B22-B21</f>
        <v>0</v>
      </c>
      <c r="D22" s="153"/>
      <c r="E22" s="153"/>
      <c r="F22" s="153"/>
      <c r="G22" s="153"/>
    </row>
    <row r="23" spans="1:7" hidden="1" x14ac:dyDescent="0.25">
      <c r="A23" s="30" t="s">
        <v>95</v>
      </c>
      <c r="B23" s="8">
        <f>SUM(B20:B22)</f>
        <v>0</v>
      </c>
      <c r="C23" s="78">
        <f>+B23-B19</f>
        <v>0</v>
      </c>
      <c r="D23" s="78" t="e">
        <f>+(B23-B19)/B19</f>
        <v>#DIV/0!</v>
      </c>
      <c r="E23" s="153"/>
      <c r="F23" s="163"/>
      <c r="G23" s="153"/>
    </row>
    <row r="24" spans="1:7" hidden="1" x14ac:dyDescent="0.25">
      <c r="A24" s="31" t="s">
        <v>9</v>
      </c>
      <c r="B24" s="32">
        <f>+B11+B15+B19+B23</f>
        <v>109643</v>
      </c>
      <c r="C24" s="32"/>
      <c r="D24" s="32"/>
      <c r="E24" s="153"/>
      <c r="F24" s="153"/>
      <c r="G24" s="153"/>
    </row>
    <row r="25" spans="1:7" ht="40.5" customHeight="1" x14ac:dyDescent="0.25">
      <c r="A25" s="248" t="s">
        <v>236</v>
      </c>
      <c r="B25" s="248"/>
      <c r="C25" s="248"/>
      <c r="D25" s="248"/>
      <c r="E25" s="153"/>
      <c r="F25" s="163"/>
      <c r="G25" s="153"/>
    </row>
    <row r="26" spans="1:7" ht="17.25" customHeight="1" x14ac:dyDescent="0.25">
      <c r="A26" s="247" t="s">
        <v>243</v>
      </c>
      <c r="B26" s="247"/>
      <c r="C26" s="247"/>
      <c r="D26" s="247"/>
      <c r="E26" s="153"/>
      <c r="F26" s="163"/>
      <c r="G26" s="163"/>
    </row>
    <row r="27" spans="1:7" x14ac:dyDescent="0.25">
      <c r="A27" s="247"/>
      <c r="B27" s="247"/>
      <c r="C27" s="247"/>
      <c r="D27" s="247"/>
      <c r="E27" s="153"/>
      <c r="F27" s="153"/>
      <c r="G27" s="153"/>
    </row>
    <row r="28" spans="1:7" x14ac:dyDescent="0.25">
      <c r="A28" s="162" t="s">
        <v>174</v>
      </c>
      <c r="B28" s="153"/>
      <c r="C28" s="153"/>
      <c r="D28" s="153"/>
      <c r="E28" s="153"/>
      <c r="F28" s="153"/>
      <c r="G28" s="153"/>
    </row>
    <row r="29" spans="1:7" x14ac:dyDescent="0.25">
      <c r="A29" s="153"/>
      <c r="B29" s="153"/>
      <c r="C29" s="153"/>
      <c r="D29" s="153"/>
      <c r="E29" s="153"/>
      <c r="F29" s="153"/>
      <c r="G29" s="153"/>
    </row>
    <row r="30" spans="1:7" x14ac:dyDescent="0.25">
      <c r="A30" s="153"/>
      <c r="B30" s="153"/>
      <c r="C30" s="153"/>
      <c r="D30" s="153"/>
      <c r="E30" s="153"/>
      <c r="F30" s="153"/>
      <c r="G30" s="153"/>
    </row>
    <row r="31" spans="1:7" x14ac:dyDescent="0.25">
      <c r="A31" s="153"/>
      <c r="B31" s="153"/>
      <c r="C31" s="153"/>
      <c r="D31" s="153"/>
      <c r="E31" s="153"/>
      <c r="F31" s="153"/>
      <c r="G31" s="153"/>
    </row>
    <row r="32" spans="1:7" x14ac:dyDescent="0.25">
      <c r="A32" s="153"/>
      <c r="B32" s="153"/>
      <c r="C32" s="153"/>
      <c r="D32" s="153"/>
      <c r="E32" s="153"/>
      <c r="F32" s="153"/>
      <c r="G32" s="153"/>
    </row>
    <row r="33" spans="1:7" x14ac:dyDescent="0.25">
      <c r="A33" s="153"/>
      <c r="B33" s="153"/>
      <c r="C33" s="153"/>
      <c r="D33" s="153"/>
      <c r="E33" s="153"/>
      <c r="F33" s="153"/>
      <c r="G33" s="153"/>
    </row>
    <row r="34" spans="1:7" x14ac:dyDescent="0.25">
      <c r="A34" s="153"/>
      <c r="B34" s="153"/>
      <c r="C34" s="153"/>
      <c r="D34" s="153"/>
      <c r="E34" s="153"/>
      <c r="F34" s="153"/>
      <c r="G34" s="153"/>
    </row>
    <row r="35" spans="1:7" x14ac:dyDescent="0.25">
      <c r="A35" s="153"/>
      <c r="B35" s="153"/>
      <c r="C35" s="153"/>
      <c r="D35" s="153"/>
      <c r="E35" s="153"/>
      <c r="F35" s="153"/>
      <c r="G35" s="153"/>
    </row>
    <row r="36" spans="1:7" x14ac:dyDescent="0.25">
      <c r="A36" s="153"/>
      <c r="B36" s="153"/>
      <c r="C36" s="153"/>
      <c r="D36" s="153"/>
      <c r="E36" s="153"/>
      <c r="F36" s="153"/>
      <c r="G36" s="153"/>
    </row>
    <row r="37" spans="1:7" x14ac:dyDescent="0.25">
      <c r="A37" s="153"/>
      <c r="B37" s="153"/>
      <c r="C37" s="153"/>
      <c r="D37" s="153"/>
      <c r="E37" s="153"/>
      <c r="F37" s="153"/>
      <c r="G37" s="153"/>
    </row>
    <row r="38" spans="1:7" x14ac:dyDescent="0.25">
      <c r="A38" s="153"/>
      <c r="B38" s="153"/>
      <c r="C38" s="153"/>
      <c r="D38" s="153"/>
      <c r="E38" s="153"/>
      <c r="F38" s="153"/>
      <c r="G38" s="153"/>
    </row>
    <row r="39" spans="1:7" x14ac:dyDescent="0.25">
      <c r="A39" s="153"/>
      <c r="B39" s="153"/>
      <c r="C39" s="153"/>
      <c r="D39" s="153"/>
      <c r="E39" s="153"/>
      <c r="F39" s="153"/>
      <c r="G39" s="153"/>
    </row>
    <row r="40" spans="1:7" x14ac:dyDescent="0.25">
      <c r="A40" s="153"/>
      <c r="B40" s="153"/>
      <c r="C40" s="153"/>
      <c r="D40" s="153"/>
      <c r="E40" s="153"/>
      <c r="F40" s="153"/>
      <c r="G40" s="153"/>
    </row>
    <row r="41" spans="1:7" x14ac:dyDescent="0.25">
      <c r="A41" s="153"/>
      <c r="B41" s="153"/>
      <c r="C41" s="153"/>
      <c r="D41" s="153"/>
      <c r="E41" s="153"/>
      <c r="F41" s="153"/>
      <c r="G41" s="153"/>
    </row>
    <row r="43" spans="1:7" x14ac:dyDescent="0.25">
      <c r="A43" s="58"/>
      <c r="B43" s="178"/>
      <c r="C43" s="170"/>
      <c r="D43" s="179"/>
    </row>
    <row r="44" spans="1:7" x14ac:dyDescent="0.25">
      <c r="A44" s="58"/>
      <c r="B44" s="177"/>
      <c r="C44" s="170"/>
      <c r="D44" s="21"/>
    </row>
    <row r="46" spans="1:7" x14ac:dyDescent="0.25">
      <c r="C46" s="14"/>
    </row>
    <row r="47" spans="1:7" x14ac:dyDescent="0.25">
      <c r="C47" s="14"/>
    </row>
  </sheetData>
  <mergeCells count="8">
    <mergeCell ref="A26:D27"/>
    <mergeCell ref="A25:D25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F44"/>
  <sheetViews>
    <sheetView showGridLines="0" topLeftCell="A2" zoomScaleNormal="100" workbookViewId="0">
      <selection activeCell="E36" sqref="E36"/>
    </sheetView>
  </sheetViews>
  <sheetFormatPr baseColWidth="10" defaultColWidth="11.42578125" defaultRowHeight="15" x14ac:dyDescent="0.25"/>
  <cols>
    <col min="1" max="1" width="15" style="1" customWidth="1"/>
    <col min="2" max="2" width="22" style="1" customWidth="1"/>
    <col min="3" max="3" width="20.5703125" style="1" customWidth="1"/>
    <col min="4" max="16384" width="11.42578125" style="1"/>
  </cols>
  <sheetData>
    <row r="1" spans="1:6" x14ac:dyDescent="0.25">
      <c r="A1" s="249" t="s">
        <v>0</v>
      </c>
      <c r="B1" s="249"/>
      <c r="C1" s="249"/>
      <c r="D1" s="23"/>
      <c r="E1" s="23"/>
      <c r="F1" s="23"/>
    </row>
    <row r="2" spans="1:6" x14ac:dyDescent="0.25">
      <c r="A2" s="244" t="s">
        <v>123</v>
      </c>
      <c r="B2" s="244"/>
      <c r="C2" s="244"/>
      <c r="D2" s="23"/>
      <c r="E2" s="23"/>
      <c r="F2" s="23"/>
    </row>
    <row r="3" spans="1:6" x14ac:dyDescent="0.25">
      <c r="A3" s="244" t="s">
        <v>13</v>
      </c>
      <c r="B3" s="244"/>
      <c r="C3" s="244"/>
      <c r="D3" s="23"/>
      <c r="E3" s="23"/>
      <c r="F3" s="23"/>
    </row>
    <row r="4" spans="1:6" x14ac:dyDescent="0.25">
      <c r="A4" s="249" t="s">
        <v>225</v>
      </c>
      <c r="B4" s="249"/>
      <c r="C4" s="249"/>
      <c r="D4" s="22"/>
      <c r="E4" s="23"/>
      <c r="F4" s="23"/>
    </row>
    <row r="5" spans="1:6" x14ac:dyDescent="0.25">
      <c r="A5" s="246" t="s">
        <v>166</v>
      </c>
      <c r="B5" s="246"/>
      <c r="C5" s="246"/>
      <c r="D5" s="24"/>
      <c r="E5" s="24"/>
      <c r="F5" s="24"/>
    </row>
    <row r="6" spans="1:6" ht="15" customHeight="1" x14ac:dyDescent="0.25">
      <c r="A6" s="245" t="s">
        <v>183</v>
      </c>
      <c r="B6" s="245"/>
      <c r="C6" s="245"/>
      <c r="D6" s="46"/>
      <c r="E6" s="46"/>
      <c r="F6" s="25"/>
    </row>
    <row r="7" spans="1:6" ht="25.5" x14ac:dyDescent="0.25">
      <c r="A7" s="168" t="s">
        <v>1</v>
      </c>
      <c r="B7" s="152" t="s">
        <v>184</v>
      </c>
      <c r="C7" s="152" t="s">
        <v>185</v>
      </c>
      <c r="D7" s="153"/>
      <c r="E7" s="153"/>
    </row>
    <row r="8" spans="1:6" x14ac:dyDescent="0.25">
      <c r="A8" s="58" t="s">
        <v>89</v>
      </c>
      <c r="B8" s="181">
        <v>1</v>
      </c>
      <c r="C8" s="181">
        <v>3</v>
      </c>
      <c r="D8" s="153"/>
      <c r="E8" s="153"/>
    </row>
    <row r="9" spans="1:6" x14ac:dyDescent="0.25">
      <c r="A9" s="58" t="s">
        <v>88</v>
      </c>
      <c r="B9" s="181">
        <v>209</v>
      </c>
      <c r="C9" s="181">
        <v>3</v>
      </c>
      <c r="D9" s="153"/>
      <c r="E9" s="153"/>
    </row>
    <row r="10" spans="1:6" x14ac:dyDescent="0.25">
      <c r="A10" s="58" t="s">
        <v>87</v>
      </c>
      <c r="B10" s="181">
        <v>2</v>
      </c>
      <c r="C10" s="181">
        <v>1</v>
      </c>
      <c r="D10" s="153"/>
      <c r="E10" s="153"/>
    </row>
    <row r="11" spans="1:6" x14ac:dyDescent="0.25">
      <c r="A11" s="30" t="s">
        <v>137</v>
      </c>
      <c r="B11" s="8">
        <f>SUM(B8:B10)</f>
        <v>212</v>
      </c>
      <c r="C11" s="8">
        <f>SUM(C8:C10)</f>
        <v>7</v>
      </c>
      <c r="D11" s="153"/>
      <c r="E11" s="153"/>
    </row>
    <row r="12" spans="1:6" hidden="1" x14ac:dyDescent="0.25">
      <c r="A12" s="58" t="s">
        <v>36</v>
      </c>
      <c r="B12" s="181"/>
      <c r="C12" s="181"/>
      <c r="D12" s="153"/>
      <c r="E12" s="153"/>
    </row>
    <row r="13" spans="1:6" hidden="1" x14ac:dyDescent="0.25">
      <c r="A13" s="58" t="s">
        <v>37</v>
      </c>
      <c r="B13" s="181"/>
      <c r="C13" s="181"/>
      <c r="D13" s="153"/>
      <c r="E13" s="153"/>
    </row>
    <row r="14" spans="1:6" hidden="1" x14ac:dyDescent="0.25">
      <c r="A14" s="58" t="s">
        <v>38</v>
      </c>
      <c r="B14" s="181"/>
      <c r="C14" s="181"/>
      <c r="D14" s="153"/>
      <c r="E14" s="153"/>
    </row>
    <row r="15" spans="1:6" hidden="1" x14ac:dyDescent="0.25">
      <c r="A15" s="30" t="s">
        <v>136</v>
      </c>
      <c r="B15" s="8">
        <f>SUM(B12:B14)</f>
        <v>0</v>
      </c>
      <c r="C15" s="8">
        <f>SUM(C12:C14)</f>
        <v>0</v>
      </c>
      <c r="D15" s="153"/>
      <c r="E15" s="153"/>
    </row>
    <row r="16" spans="1:6" hidden="1" x14ac:dyDescent="0.25">
      <c r="A16" s="58" t="s">
        <v>87</v>
      </c>
      <c r="B16" s="181"/>
      <c r="C16" s="181"/>
      <c r="D16" s="153"/>
      <c r="E16" s="153"/>
    </row>
    <row r="17" spans="1:5" hidden="1" x14ac:dyDescent="0.25">
      <c r="A17" s="58" t="s">
        <v>88</v>
      </c>
      <c r="B17" s="181"/>
      <c r="C17" s="181"/>
      <c r="D17" s="153"/>
      <c r="E17" s="153"/>
    </row>
    <row r="18" spans="1:5" hidden="1" x14ac:dyDescent="0.25">
      <c r="A18" s="58" t="s">
        <v>89</v>
      </c>
      <c r="B18" s="181"/>
      <c r="C18" s="181"/>
      <c r="D18" s="153"/>
      <c r="E18" s="153"/>
    </row>
    <row r="19" spans="1:5" hidden="1" x14ac:dyDescent="0.25">
      <c r="A19" s="30" t="s">
        <v>137</v>
      </c>
      <c r="B19" s="8">
        <f>SUM(B16:B18)</f>
        <v>0</v>
      </c>
      <c r="C19" s="8">
        <f>SUM(C16:C18)</f>
        <v>0</v>
      </c>
      <c r="D19" s="153"/>
      <c r="E19" s="153"/>
    </row>
    <row r="20" spans="1:5" hidden="1" x14ac:dyDescent="0.25">
      <c r="A20" s="58" t="s">
        <v>90</v>
      </c>
      <c r="B20" s="181"/>
      <c r="C20" s="181"/>
      <c r="D20" s="153"/>
      <c r="E20" s="153"/>
    </row>
    <row r="21" spans="1:5" hidden="1" x14ac:dyDescent="0.25">
      <c r="A21" s="58" t="s">
        <v>91</v>
      </c>
      <c r="B21" s="181"/>
      <c r="C21" s="181"/>
      <c r="D21" s="153"/>
      <c r="E21" s="153"/>
    </row>
    <row r="22" spans="1:5" hidden="1" x14ac:dyDescent="0.25">
      <c r="A22" s="58" t="s">
        <v>92</v>
      </c>
      <c r="B22" s="181"/>
      <c r="C22" s="181"/>
      <c r="D22" s="153"/>
      <c r="E22" s="153"/>
    </row>
    <row r="23" spans="1:5" hidden="1" x14ac:dyDescent="0.25">
      <c r="A23" s="30" t="s">
        <v>127</v>
      </c>
      <c r="B23" s="8">
        <f>SUM(B20:B22)</f>
        <v>0</v>
      </c>
      <c r="C23" s="8">
        <f>SUM(C20:C22)</f>
        <v>0</v>
      </c>
      <c r="D23" s="153"/>
      <c r="E23" s="153"/>
    </row>
    <row r="24" spans="1:5" hidden="1" x14ac:dyDescent="0.25">
      <c r="A24" s="31" t="s">
        <v>9</v>
      </c>
      <c r="B24" s="33"/>
      <c r="C24" s="33"/>
      <c r="D24" s="153"/>
      <c r="E24" s="153"/>
    </row>
    <row r="25" spans="1:5" x14ac:dyDescent="0.25">
      <c r="A25" s="162" t="s">
        <v>174</v>
      </c>
      <c r="B25" s="153"/>
      <c r="C25" s="153"/>
      <c r="D25" s="153"/>
      <c r="E25" s="153"/>
    </row>
    <row r="26" spans="1:5" x14ac:dyDescent="0.25">
      <c r="A26" s="167"/>
      <c r="B26" s="153"/>
      <c r="C26" s="153"/>
      <c r="D26" s="153"/>
      <c r="E26" s="153"/>
    </row>
    <row r="27" spans="1:5" x14ac:dyDescent="0.25">
      <c r="A27" s="153"/>
      <c r="B27" s="153"/>
      <c r="C27" s="153"/>
      <c r="D27" s="153"/>
      <c r="E27" s="153"/>
    </row>
    <row r="28" spans="1:5" x14ac:dyDescent="0.25">
      <c r="A28" s="153"/>
      <c r="B28" s="153"/>
      <c r="C28" s="153"/>
      <c r="D28" s="153"/>
      <c r="E28" s="153"/>
    </row>
    <row r="29" spans="1:5" x14ac:dyDescent="0.25">
      <c r="A29" s="153"/>
      <c r="B29" s="153"/>
      <c r="C29" s="153"/>
      <c r="D29" s="153"/>
      <c r="E29" s="153"/>
    </row>
    <row r="30" spans="1:5" x14ac:dyDescent="0.25">
      <c r="A30" s="153"/>
      <c r="B30" s="153"/>
      <c r="C30" s="153"/>
      <c r="D30" s="153"/>
      <c r="E30" s="153"/>
    </row>
    <row r="31" spans="1:5" x14ac:dyDescent="0.25">
      <c r="A31" s="153"/>
      <c r="B31" s="153"/>
      <c r="C31" s="153"/>
      <c r="D31" s="153"/>
      <c r="E31" s="153"/>
    </row>
    <row r="32" spans="1:5" x14ac:dyDescent="0.25">
      <c r="A32" s="153"/>
      <c r="B32" s="153"/>
      <c r="C32" s="153"/>
      <c r="D32" s="153"/>
      <c r="E32" s="153"/>
    </row>
    <row r="33" spans="1:5" x14ac:dyDescent="0.25">
      <c r="A33" s="153"/>
      <c r="B33" s="153"/>
      <c r="C33" s="153"/>
      <c r="D33" s="153"/>
      <c r="E33" s="153"/>
    </row>
    <row r="34" spans="1:5" x14ac:dyDescent="0.25">
      <c r="A34" s="153"/>
      <c r="B34" s="153"/>
      <c r="C34" s="153"/>
      <c r="D34" s="153"/>
      <c r="E34" s="153"/>
    </row>
    <row r="35" spans="1:5" x14ac:dyDescent="0.25">
      <c r="A35" s="153"/>
      <c r="B35" s="153"/>
      <c r="C35" s="153"/>
      <c r="D35" s="153"/>
      <c r="E35" s="153"/>
    </row>
    <row r="36" spans="1:5" x14ac:dyDescent="0.25">
      <c r="A36" s="153"/>
      <c r="B36" s="153"/>
      <c r="C36" s="153"/>
      <c r="D36" s="153"/>
      <c r="E36" s="153"/>
    </row>
    <row r="37" spans="1:5" x14ac:dyDescent="0.25">
      <c r="A37" s="153"/>
      <c r="B37" s="153"/>
      <c r="C37" s="153"/>
      <c r="D37" s="153"/>
      <c r="E37" s="153"/>
    </row>
    <row r="38" spans="1:5" x14ac:dyDescent="0.25">
      <c r="A38" s="153"/>
      <c r="B38" s="153"/>
      <c r="C38" s="153"/>
      <c r="D38" s="153"/>
      <c r="E38" s="153"/>
    </row>
    <row r="39" spans="1:5" x14ac:dyDescent="0.25">
      <c r="A39" s="153"/>
      <c r="B39" s="153"/>
      <c r="C39" s="153"/>
      <c r="D39" s="153"/>
      <c r="E39" s="153"/>
    </row>
    <row r="40" spans="1:5" x14ac:dyDescent="0.25">
      <c r="A40" s="153"/>
      <c r="B40" s="153"/>
      <c r="C40" s="153"/>
      <c r="D40" s="153"/>
      <c r="E40" s="153"/>
    </row>
    <row r="42" spans="1:5" x14ac:dyDescent="0.25">
      <c r="A42" s="234"/>
    </row>
    <row r="43" spans="1:5" x14ac:dyDescent="0.25">
      <c r="A43" s="58"/>
      <c r="B43" s="181"/>
      <c r="C43" s="181"/>
    </row>
    <row r="44" spans="1:5" x14ac:dyDescent="0.25">
      <c r="A44" s="58"/>
      <c r="B44" s="181"/>
      <c r="C44" s="181"/>
    </row>
  </sheetData>
  <mergeCells count="6">
    <mergeCell ref="A1:C1"/>
    <mergeCell ref="A6:C6"/>
    <mergeCell ref="A3:C3"/>
    <mergeCell ref="A5:C5"/>
    <mergeCell ref="A2:C2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I56"/>
  <sheetViews>
    <sheetView showGridLines="0" topLeftCell="A3" zoomScale="70" zoomScaleNormal="70" workbookViewId="0">
      <selection activeCell="A31" sqref="A31:H31"/>
    </sheetView>
  </sheetViews>
  <sheetFormatPr baseColWidth="10" defaultColWidth="11.42578125" defaultRowHeight="15" x14ac:dyDescent="0.25"/>
  <cols>
    <col min="1" max="1" width="12" style="1" customWidth="1"/>
    <col min="2" max="4" width="18.140625" style="1" customWidth="1"/>
    <col min="5" max="5" width="15.28515625" style="1" customWidth="1"/>
    <col min="6" max="6" width="11.42578125" style="1"/>
    <col min="7" max="7" width="15.140625" style="1" bestFit="1" customWidth="1"/>
    <col min="8" max="16384" width="11.42578125" style="1"/>
  </cols>
  <sheetData>
    <row r="1" spans="1:9" x14ac:dyDescent="0.25">
      <c r="A1" s="242" t="s">
        <v>0</v>
      </c>
      <c r="B1" s="242"/>
      <c r="C1" s="242"/>
      <c r="D1" s="242"/>
      <c r="E1" s="242"/>
      <c r="F1" s="242"/>
      <c r="G1" s="242"/>
      <c r="H1" s="242"/>
    </row>
    <row r="2" spans="1:9" x14ac:dyDescent="0.25">
      <c r="A2" s="242" t="s">
        <v>122</v>
      </c>
      <c r="B2" s="242"/>
      <c r="C2" s="242"/>
      <c r="D2" s="242"/>
      <c r="E2" s="242"/>
      <c r="F2" s="242"/>
      <c r="G2" s="242"/>
      <c r="H2" s="242"/>
    </row>
    <row r="3" spans="1:9" x14ac:dyDescent="0.25">
      <c r="A3" s="242" t="s">
        <v>158</v>
      </c>
      <c r="B3" s="242"/>
      <c r="C3" s="242"/>
      <c r="D3" s="242"/>
      <c r="E3" s="242"/>
      <c r="F3" s="242"/>
      <c r="G3" s="242"/>
      <c r="H3" s="242"/>
    </row>
    <row r="4" spans="1:9" x14ac:dyDescent="0.25">
      <c r="A4" s="242" t="s">
        <v>225</v>
      </c>
      <c r="B4" s="242"/>
      <c r="C4" s="242"/>
      <c r="D4" s="242"/>
      <c r="E4" s="242"/>
      <c r="F4" s="242"/>
      <c r="G4" s="242"/>
      <c r="H4" s="242"/>
    </row>
    <row r="5" spans="1:9" x14ac:dyDescent="0.25">
      <c r="A5" s="243" t="s">
        <v>166</v>
      </c>
      <c r="B5" s="243"/>
      <c r="C5" s="243"/>
      <c r="D5" s="243"/>
      <c r="E5" s="243"/>
      <c r="F5" s="243"/>
      <c r="G5" s="243"/>
      <c r="H5" s="243"/>
    </row>
    <row r="6" spans="1:9" x14ac:dyDescent="0.25">
      <c r="A6" s="182"/>
      <c r="B6" s="253" t="s">
        <v>229</v>
      </c>
      <c r="C6" s="253"/>
      <c r="D6" s="253"/>
      <c r="E6" s="253" t="s">
        <v>231</v>
      </c>
      <c r="F6" s="253"/>
      <c r="G6" s="253"/>
      <c r="H6" s="253"/>
    </row>
    <row r="7" spans="1:9" ht="15" customHeight="1" x14ac:dyDescent="0.25">
      <c r="A7" s="252" t="s">
        <v>1</v>
      </c>
      <c r="B7" s="245" t="s">
        <v>230</v>
      </c>
      <c r="C7" s="245" t="s">
        <v>227</v>
      </c>
      <c r="D7" s="245" t="s">
        <v>228</v>
      </c>
      <c r="E7" s="245" t="s">
        <v>232</v>
      </c>
      <c r="F7" s="245"/>
      <c r="G7" s="245" t="s">
        <v>33</v>
      </c>
      <c r="H7" s="245"/>
    </row>
    <row r="8" spans="1:9" x14ac:dyDescent="0.25">
      <c r="A8" s="252"/>
      <c r="B8" s="245"/>
      <c r="C8" s="245"/>
      <c r="D8" s="245"/>
      <c r="E8" s="245"/>
      <c r="F8" s="245"/>
      <c r="G8" s="245"/>
      <c r="H8" s="245"/>
    </row>
    <row r="9" spans="1:9" x14ac:dyDescent="0.25">
      <c r="A9" s="183"/>
      <c r="B9" s="152" t="s">
        <v>20</v>
      </c>
      <c r="C9" s="152" t="s">
        <v>20</v>
      </c>
      <c r="D9" s="152" t="s">
        <v>20</v>
      </c>
      <c r="E9" s="152" t="s">
        <v>34</v>
      </c>
      <c r="F9" s="152" t="s">
        <v>35</v>
      </c>
      <c r="G9" s="152" t="s">
        <v>34</v>
      </c>
      <c r="H9" s="152" t="s">
        <v>35</v>
      </c>
    </row>
    <row r="10" spans="1:9" x14ac:dyDescent="0.25">
      <c r="A10" s="100" t="s">
        <v>89</v>
      </c>
      <c r="B10" s="178">
        <v>2204867529.0599999</v>
      </c>
      <c r="C10" s="235">
        <v>1041190.6</v>
      </c>
      <c r="D10" s="157">
        <f t="shared" ref="D10" si="0">+B10+C10</f>
        <v>2205908719.6599998</v>
      </c>
      <c r="E10" s="185">
        <v>2179363075</v>
      </c>
      <c r="F10" s="2">
        <f t="shared" ref="F10" si="1">(E10/D10)</f>
        <v>0.98796611826073588</v>
      </c>
      <c r="G10" s="77">
        <f>+D10-E10</f>
        <v>26545644.659999847</v>
      </c>
      <c r="H10" s="4">
        <f t="shared" ref="H10" si="2">(G10/D10)</f>
        <v>1.2033881739264066E-2</v>
      </c>
      <c r="I10" s="14"/>
    </row>
    <row r="11" spans="1:9" x14ac:dyDescent="0.25">
      <c r="A11" s="100" t="s">
        <v>88</v>
      </c>
      <c r="B11" s="178">
        <v>2182641302.5</v>
      </c>
      <c r="C11" s="235">
        <v>551857.80000000005</v>
      </c>
      <c r="D11" s="237">
        <f t="shared" ref="D11" si="3">+B11+C11</f>
        <v>2183193160.3000002</v>
      </c>
      <c r="E11" s="185">
        <v>2186923762</v>
      </c>
      <c r="F11" s="2">
        <f t="shared" ref="F11" si="4">(E11/D11)</f>
        <v>1.0017087822405448</v>
      </c>
      <c r="G11" s="77">
        <f>+D11-E11</f>
        <v>-3730601.6999998093</v>
      </c>
      <c r="H11" s="4">
        <f t="shared" ref="H11" si="5">(G11/D11)</f>
        <v>-1.7087822405449339E-3</v>
      </c>
    </row>
    <row r="12" spans="1:9" x14ac:dyDescent="0.25">
      <c r="A12" s="100" t="s">
        <v>132</v>
      </c>
      <c r="B12" s="184">
        <v>2175941287.6900001</v>
      </c>
      <c r="C12" s="235">
        <v>1752906.94</v>
      </c>
      <c r="D12" s="157">
        <f>+B12+C12</f>
        <v>2177694194.6300001</v>
      </c>
      <c r="E12" s="238">
        <v>2155333333.6900001</v>
      </c>
      <c r="F12" s="2">
        <f>(E12/D12)</f>
        <v>0.98973186364038623</v>
      </c>
      <c r="G12" s="146">
        <f>+D12-E12</f>
        <v>22360860.940000057</v>
      </c>
      <c r="H12" s="4">
        <f>(G12/D12)</f>
        <v>1.0268136359613737E-2</v>
      </c>
    </row>
    <row r="13" spans="1:9" x14ac:dyDescent="0.25">
      <c r="A13" s="30" t="s">
        <v>94</v>
      </c>
      <c r="B13" s="86">
        <f>SUM(B10:B12)</f>
        <v>6563450119.25</v>
      </c>
      <c r="C13" s="86">
        <f>SUM(C10:C12)</f>
        <v>3345955.34</v>
      </c>
      <c r="D13" s="8">
        <f>SUM(D10:D12)</f>
        <v>6566796074.5900002</v>
      </c>
      <c r="E13" s="8">
        <f>SUM(E10:E12)</f>
        <v>6521620170.6900005</v>
      </c>
      <c r="F13" s="3">
        <f>(E13/D13)</f>
        <v>0.99312055629764318</v>
      </c>
      <c r="G13" s="239">
        <f>SUM(G10:G12)</f>
        <v>45175903.900000095</v>
      </c>
      <c r="H13" s="5">
        <f>(G13/D13)</f>
        <v>6.879443702356886E-3</v>
      </c>
      <c r="I13" s="14"/>
    </row>
    <row r="14" spans="1:9" hidden="1" x14ac:dyDescent="0.25">
      <c r="A14" s="100" t="s">
        <v>36</v>
      </c>
      <c r="B14" s="157">
        <v>1913412632.9166667</v>
      </c>
      <c r="C14" s="157"/>
      <c r="D14" s="157"/>
      <c r="E14" s="158"/>
      <c r="F14" s="2">
        <f t="shared" ref="F14:F27" si="6">(E14/B14)</f>
        <v>0</v>
      </c>
      <c r="G14" s="77">
        <f>+B14-E14</f>
        <v>1913412632.9166667</v>
      </c>
      <c r="H14" s="4">
        <f t="shared" ref="H14:H26" si="7">(G14/B14)</f>
        <v>1</v>
      </c>
    </row>
    <row r="15" spans="1:9" hidden="1" x14ac:dyDescent="0.25">
      <c r="A15" s="100" t="s">
        <v>37</v>
      </c>
      <c r="B15" s="157">
        <v>1913412632.9166667</v>
      </c>
      <c r="C15" s="157"/>
      <c r="D15" s="157"/>
      <c r="E15" s="158"/>
      <c r="F15" s="2">
        <f t="shared" si="6"/>
        <v>0</v>
      </c>
      <c r="G15" s="77">
        <f>+B15-E15</f>
        <v>1913412632.9166667</v>
      </c>
      <c r="H15" s="4">
        <f t="shared" si="7"/>
        <v>1</v>
      </c>
    </row>
    <row r="16" spans="1:9" hidden="1" x14ac:dyDescent="0.25">
      <c r="A16" s="100" t="s">
        <v>38</v>
      </c>
      <c r="B16" s="157">
        <v>1913412632.9166667</v>
      </c>
      <c r="C16" s="157"/>
      <c r="D16" s="157"/>
      <c r="E16" s="158"/>
      <c r="F16" s="2">
        <f t="shared" si="6"/>
        <v>0</v>
      </c>
      <c r="G16" s="77">
        <f>+B16-E16</f>
        <v>1913412632.9166667</v>
      </c>
      <c r="H16" s="4">
        <f t="shared" si="7"/>
        <v>1</v>
      </c>
    </row>
    <row r="17" spans="1:8" hidden="1" x14ac:dyDescent="0.25">
      <c r="A17" s="30" t="s">
        <v>131</v>
      </c>
      <c r="B17" s="8">
        <f>SUM(B14:B16)</f>
        <v>5740237898.75</v>
      </c>
      <c r="C17" s="8"/>
      <c r="D17" s="8"/>
      <c r="E17" s="8">
        <f>SUM(E14:E16)</f>
        <v>0</v>
      </c>
      <c r="F17" s="3">
        <f t="shared" si="6"/>
        <v>0</v>
      </c>
      <c r="G17" s="13">
        <f>SUM(G14:G16)</f>
        <v>5740237898.75</v>
      </c>
      <c r="H17" s="5">
        <f t="shared" si="7"/>
        <v>1</v>
      </c>
    </row>
    <row r="18" spans="1:8" hidden="1" x14ac:dyDescent="0.25">
      <c r="A18" s="100" t="s">
        <v>132</v>
      </c>
      <c r="B18" s="157">
        <v>1913412632.9166667</v>
      </c>
      <c r="C18" s="157"/>
      <c r="D18" s="157"/>
      <c r="E18" s="158"/>
      <c r="F18" s="2">
        <f t="shared" si="6"/>
        <v>0</v>
      </c>
      <c r="G18" s="77">
        <f>+B18-E18</f>
        <v>1913412632.9166667</v>
      </c>
      <c r="H18" s="4">
        <f t="shared" si="7"/>
        <v>1</v>
      </c>
    </row>
    <row r="19" spans="1:8" hidden="1" x14ac:dyDescent="0.25">
      <c r="A19" s="100" t="s">
        <v>88</v>
      </c>
      <c r="B19" s="157">
        <v>1913412632.9166667</v>
      </c>
      <c r="C19" s="157"/>
      <c r="D19" s="157"/>
      <c r="E19" s="158"/>
      <c r="F19" s="2">
        <f t="shared" si="6"/>
        <v>0</v>
      </c>
      <c r="G19" s="77">
        <f>+B19-E19</f>
        <v>1913412632.9166667</v>
      </c>
      <c r="H19" s="4">
        <f t="shared" si="7"/>
        <v>1</v>
      </c>
    </row>
    <row r="20" spans="1:8" hidden="1" x14ac:dyDescent="0.25">
      <c r="A20" s="100" t="s">
        <v>89</v>
      </c>
      <c r="B20" s="157">
        <v>1913412632.9166667</v>
      </c>
      <c r="C20" s="157"/>
      <c r="D20" s="157"/>
      <c r="E20" s="158"/>
      <c r="F20" s="2">
        <f t="shared" si="6"/>
        <v>0</v>
      </c>
      <c r="G20" s="77">
        <f>+B20-E20</f>
        <v>1913412632.9166667</v>
      </c>
      <c r="H20" s="4">
        <f t="shared" si="7"/>
        <v>1</v>
      </c>
    </row>
    <row r="21" spans="1:8" hidden="1" x14ac:dyDescent="0.25">
      <c r="A21" s="30" t="s">
        <v>94</v>
      </c>
      <c r="B21" s="8">
        <f>SUM(B18:B20)</f>
        <v>5740237898.75</v>
      </c>
      <c r="C21" s="8"/>
      <c r="D21" s="8"/>
      <c r="E21" s="8">
        <f>SUM(E18:E20)</f>
        <v>0</v>
      </c>
      <c r="F21" s="3">
        <f t="shared" si="6"/>
        <v>0</v>
      </c>
      <c r="G21" s="13">
        <f>SUM(G18:G20)</f>
        <v>5740237898.75</v>
      </c>
      <c r="H21" s="5">
        <f t="shared" si="7"/>
        <v>1</v>
      </c>
    </row>
    <row r="22" spans="1:8" hidden="1" x14ac:dyDescent="0.25">
      <c r="A22" s="100" t="s">
        <v>90</v>
      </c>
      <c r="B22" s="157">
        <v>1913412632.9166667</v>
      </c>
      <c r="C22" s="157"/>
      <c r="D22" s="157"/>
      <c r="E22" s="158"/>
      <c r="F22" s="2">
        <f t="shared" si="6"/>
        <v>0</v>
      </c>
      <c r="G22" s="77">
        <f>+B22-E22</f>
        <v>1913412632.9166667</v>
      </c>
      <c r="H22" s="4">
        <f t="shared" si="7"/>
        <v>1</v>
      </c>
    </row>
    <row r="23" spans="1:8" hidden="1" x14ac:dyDescent="0.25">
      <c r="A23" s="100" t="s">
        <v>91</v>
      </c>
      <c r="B23" s="157">
        <v>1913412632.9166667</v>
      </c>
      <c r="C23" s="157"/>
      <c r="D23" s="157"/>
      <c r="E23" s="158"/>
      <c r="F23" s="2">
        <f t="shared" si="6"/>
        <v>0</v>
      </c>
      <c r="G23" s="77">
        <f>+B23-E23</f>
        <v>1913412632.9166667</v>
      </c>
      <c r="H23" s="4">
        <f t="shared" si="7"/>
        <v>1</v>
      </c>
    </row>
    <row r="24" spans="1:8" hidden="1" x14ac:dyDescent="0.25">
      <c r="A24" s="100" t="s">
        <v>92</v>
      </c>
      <c r="B24" s="157">
        <v>1843710155</v>
      </c>
      <c r="C24" s="157"/>
      <c r="D24" s="157"/>
      <c r="E24" s="158"/>
      <c r="F24" s="2">
        <f t="shared" si="6"/>
        <v>0</v>
      </c>
      <c r="G24" s="77">
        <f>+B24-E24</f>
        <v>1843710155</v>
      </c>
      <c r="H24" s="4">
        <f t="shared" si="7"/>
        <v>1</v>
      </c>
    </row>
    <row r="25" spans="1:8" hidden="1" x14ac:dyDescent="0.25">
      <c r="A25" s="100" t="s">
        <v>128</v>
      </c>
      <c r="B25" s="157">
        <v>1913412632.9166667</v>
      </c>
      <c r="C25" s="157"/>
      <c r="D25" s="157"/>
      <c r="E25" s="158"/>
      <c r="F25" s="2">
        <f t="shared" si="6"/>
        <v>0</v>
      </c>
      <c r="G25" s="77">
        <f>+B25-E25</f>
        <v>1913412632.9166667</v>
      </c>
      <c r="H25" s="4">
        <f t="shared" si="7"/>
        <v>1</v>
      </c>
    </row>
    <row r="26" spans="1:8" hidden="1" x14ac:dyDescent="0.25">
      <c r="A26" s="30" t="s">
        <v>95</v>
      </c>
      <c r="B26" s="8">
        <f>SUM(B22:B25)</f>
        <v>7583948053.750001</v>
      </c>
      <c r="C26" s="8"/>
      <c r="D26" s="8"/>
      <c r="E26" s="8">
        <f>SUM(E22:E25)</f>
        <v>0</v>
      </c>
      <c r="F26" s="3">
        <f t="shared" si="6"/>
        <v>0</v>
      </c>
      <c r="G26" s="13">
        <f>SUM(G22:G25)</f>
        <v>7583948053.750001</v>
      </c>
      <c r="H26" s="5">
        <f t="shared" si="7"/>
        <v>1</v>
      </c>
    </row>
    <row r="27" spans="1:8" hidden="1" x14ac:dyDescent="0.25">
      <c r="A27" s="160" t="s">
        <v>9</v>
      </c>
      <c r="B27" s="10">
        <f>+B13+B17+B21+B26</f>
        <v>25627873970.5</v>
      </c>
      <c r="C27" s="10"/>
      <c r="D27" s="10"/>
      <c r="E27" s="10">
        <f>+E13+E17+E21+E26</f>
        <v>6521620170.6900005</v>
      </c>
      <c r="F27" s="18">
        <f t="shared" si="6"/>
        <v>0.25447371007821307</v>
      </c>
      <c r="G27" s="11">
        <f>+G13+G17+G21+G26</f>
        <v>19109599755.150002</v>
      </c>
      <c r="H27" s="18">
        <v>1</v>
      </c>
    </row>
    <row r="28" spans="1:8" ht="14.25" customHeight="1" x14ac:dyDescent="0.25">
      <c r="A28" s="251" t="s">
        <v>242</v>
      </c>
      <c r="B28" s="251"/>
      <c r="C28" s="251"/>
      <c r="D28" s="251"/>
      <c r="E28" s="251"/>
      <c r="F28" s="251"/>
      <c r="G28" s="251"/>
      <c r="H28" s="251"/>
    </row>
    <row r="29" spans="1:8" ht="10.5" customHeight="1" x14ac:dyDescent="0.25">
      <c r="A29" s="251" t="s">
        <v>241</v>
      </c>
      <c r="B29" s="251"/>
      <c r="C29" s="251"/>
      <c r="D29" s="251"/>
      <c r="E29" s="251"/>
      <c r="F29" s="251"/>
      <c r="G29" s="251"/>
      <c r="H29" s="251"/>
    </row>
    <row r="30" spans="1:8" ht="14.25" customHeight="1" x14ac:dyDescent="0.25">
      <c r="A30" s="240" t="s">
        <v>175</v>
      </c>
      <c r="B30" s="162"/>
      <c r="C30" s="153"/>
      <c r="D30" s="153"/>
      <c r="E30" s="153"/>
      <c r="F30" s="153"/>
      <c r="G30" s="153"/>
      <c r="H30" s="153"/>
    </row>
    <row r="31" spans="1:8" x14ac:dyDescent="0.25">
      <c r="A31" s="250"/>
      <c r="B31" s="250"/>
      <c r="C31" s="250"/>
      <c r="D31" s="250"/>
      <c r="E31" s="250"/>
      <c r="F31" s="250"/>
      <c r="G31" s="250"/>
      <c r="H31" s="250"/>
    </row>
    <row r="32" spans="1:8" x14ac:dyDescent="0.25">
      <c r="A32" s="153"/>
      <c r="B32" s="153"/>
      <c r="C32" s="153"/>
      <c r="D32" s="153"/>
      <c r="E32" s="153"/>
      <c r="F32" s="153"/>
      <c r="G32" s="153"/>
      <c r="H32" s="153"/>
    </row>
    <row r="33" spans="1:8" x14ac:dyDescent="0.25">
      <c r="A33" s="153"/>
      <c r="B33" s="153"/>
      <c r="C33" s="153"/>
      <c r="D33" s="153"/>
      <c r="E33" s="153"/>
      <c r="F33" s="153"/>
      <c r="G33" s="153"/>
      <c r="H33" s="153"/>
    </row>
    <row r="34" spans="1:8" x14ac:dyDescent="0.25">
      <c r="A34" s="153"/>
      <c r="B34" s="153"/>
      <c r="C34" s="153"/>
      <c r="D34" s="153"/>
      <c r="E34" s="153"/>
      <c r="F34" s="153"/>
      <c r="G34" s="153"/>
      <c r="H34" s="153"/>
    </row>
    <row r="35" spans="1:8" x14ac:dyDescent="0.25">
      <c r="A35" s="153"/>
      <c r="B35" s="153"/>
      <c r="C35" s="153"/>
      <c r="D35" s="153"/>
      <c r="E35" s="153"/>
      <c r="F35" s="153"/>
      <c r="G35" s="153"/>
      <c r="H35" s="153"/>
    </row>
    <row r="36" spans="1:8" x14ac:dyDescent="0.25">
      <c r="A36" s="153"/>
      <c r="B36" s="153"/>
      <c r="C36" s="153"/>
      <c r="D36" s="153"/>
      <c r="E36" s="153"/>
      <c r="F36" s="153"/>
      <c r="G36" s="153"/>
      <c r="H36" s="153"/>
    </row>
    <row r="37" spans="1:8" x14ac:dyDescent="0.25">
      <c r="A37" s="153"/>
      <c r="B37" s="153"/>
      <c r="C37" s="153"/>
      <c r="D37" s="153"/>
      <c r="E37" s="153"/>
      <c r="F37" s="153"/>
      <c r="G37" s="153"/>
      <c r="H37" s="153"/>
    </row>
    <row r="38" spans="1:8" x14ac:dyDescent="0.25">
      <c r="A38" s="153"/>
      <c r="B38" s="153"/>
      <c r="C38" s="153"/>
      <c r="D38" s="153"/>
      <c r="E38" s="153"/>
      <c r="F38" s="153"/>
      <c r="G38" s="153"/>
      <c r="H38" s="153"/>
    </row>
    <row r="39" spans="1:8" x14ac:dyDescent="0.25">
      <c r="A39" s="153"/>
      <c r="B39" s="153"/>
      <c r="C39" s="153"/>
      <c r="D39" s="153"/>
      <c r="E39" s="153"/>
      <c r="F39" s="153"/>
      <c r="G39" s="153"/>
      <c r="H39" s="153"/>
    </row>
    <row r="40" spans="1:8" x14ac:dyDescent="0.25">
      <c r="A40" s="153"/>
      <c r="B40" s="153"/>
      <c r="C40" s="153"/>
      <c r="D40" s="153"/>
      <c r="E40" s="153"/>
      <c r="F40" s="153"/>
      <c r="G40" s="153"/>
      <c r="H40" s="153"/>
    </row>
    <row r="41" spans="1:8" x14ac:dyDescent="0.25">
      <c r="A41" s="153"/>
      <c r="B41" s="153"/>
      <c r="C41" s="153"/>
      <c r="D41" s="153"/>
      <c r="E41" s="153"/>
      <c r="F41" s="153"/>
      <c r="G41" s="153"/>
      <c r="H41" s="153"/>
    </row>
    <row r="42" spans="1:8" x14ac:dyDescent="0.25">
      <c r="A42" s="153"/>
      <c r="B42" s="153"/>
      <c r="C42" s="153"/>
      <c r="D42" s="153"/>
      <c r="E42" s="153"/>
      <c r="F42" s="153"/>
      <c r="G42" s="153"/>
      <c r="H42" s="153"/>
    </row>
    <row r="43" spans="1:8" x14ac:dyDescent="0.25">
      <c r="A43" s="153"/>
      <c r="B43" s="153"/>
      <c r="C43" s="153"/>
      <c r="D43" s="153"/>
      <c r="E43" s="153"/>
      <c r="F43" s="153"/>
      <c r="G43" s="153"/>
      <c r="H43" s="153"/>
    </row>
    <row r="44" spans="1:8" x14ac:dyDescent="0.25">
      <c r="A44" s="153"/>
      <c r="B44" s="153"/>
      <c r="C44" s="153"/>
      <c r="D44" s="153"/>
      <c r="E44" s="153"/>
      <c r="F44" s="153"/>
      <c r="G44" s="153"/>
      <c r="H44" s="153"/>
    </row>
    <row r="45" spans="1:8" x14ac:dyDescent="0.25">
      <c r="A45" s="153"/>
      <c r="B45" s="153"/>
      <c r="C45" s="153"/>
      <c r="D45" s="153"/>
      <c r="E45" s="153"/>
      <c r="F45" s="153"/>
      <c r="G45" s="153"/>
      <c r="H45" s="153"/>
    </row>
    <row r="46" spans="1:8" x14ac:dyDescent="0.25">
      <c r="A46" s="153"/>
      <c r="B46" s="153"/>
      <c r="C46" s="153"/>
      <c r="D46" s="153"/>
      <c r="E46" s="153"/>
      <c r="F46" s="153"/>
      <c r="G46" s="153"/>
      <c r="H46" s="153"/>
    </row>
    <row r="47" spans="1:8" x14ac:dyDescent="0.25">
      <c r="A47" s="153"/>
      <c r="B47" s="153"/>
      <c r="C47" s="153"/>
      <c r="D47" s="153"/>
      <c r="E47" s="153"/>
      <c r="F47" s="153"/>
      <c r="G47" s="153"/>
      <c r="H47" s="153"/>
    </row>
    <row r="48" spans="1:8" x14ac:dyDescent="0.25">
      <c r="A48" s="153"/>
      <c r="B48" s="153"/>
      <c r="C48" s="153"/>
      <c r="D48" s="153"/>
      <c r="E48" s="153"/>
      <c r="F48" s="153"/>
      <c r="G48" s="153"/>
      <c r="H48" s="153"/>
    </row>
    <row r="49" spans="1:9" x14ac:dyDescent="0.25">
      <c r="A49" s="153"/>
      <c r="B49" s="153"/>
      <c r="C49" s="153"/>
      <c r="D49" s="153"/>
      <c r="E49" s="153"/>
      <c r="F49" s="153"/>
      <c r="G49" s="153"/>
      <c r="H49" s="153"/>
    </row>
    <row r="50" spans="1:9" x14ac:dyDescent="0.25">
      <c r="A50" s="153"/>
      <c r="B50" s="153"/>
      <c r="C50" s="153"/>
      <c r="D50" s="153"/>
      <c r="E50" s="153"/>
      <c r="F50" s="153"/>
      <c r="G50" s="153"/>
      <c r="H50" s="153"/>
    </row>
    <row r="51" spans="1:9" x14ac:dyDescent="0.25">
      <c r="A51" s="153"/>
      <c r="B51" s="153"/>
      <c r="C51" s="153"/>
      <c r="D51" s="153"/>
      <c r="E51" s="153"/>
      <c r="F51" s="153"/>
      <c r="G51" s="153"/>
      <c r="H51" s="153"/>
    </row>
    <row r="52" spans="1:9" x14ac:dyDescent="0.25">
      <c r="A52" s="153"/>
      <c r="B52" s="153"/>
      <c r="C52" s="153"/>
      <c r="D52" s="153"/>
      <c r="E52" s="153"/>
      <c r="F52" s="153"/>
      <c r="G52" s="153"/>
      <c r="H52" s="153"/>
    </row>
    <row r="53" spans="1:9" x14ac:dyDescent="0.25">
      <c r="A53" s="153"/>
      <c r="B53" s="153"/>
      <c r="C53" s="153"/>
      <c r="D53" s="153"/>
      <c r="E53" s="153"/>
      <c r="F53" s="153"/>
      <c r="G53" s="153"/>
      <c r="H53" s="153"/>
    </row>
    <row r="54" spans="1:9" x14ac:dyDescent="0.25">
      <c r="B54" s="100"/>
      <c r="C54" s="178"/>
      <c r="D54" s="184"/>
      <c r="E54" s="157"/>
      <c r="F54" s="185"/>
      <c r="G54" s="2"/>
      <c r="H54" s="77"/>
      <c r="I54" s="4"/>
    </row>
    <row r="56" spans="1:9" x14ac:dyDescent="0.25">
      <c r="B56" s="100"/>
      <c r="C56" s="184"/>
      <c r="D56" s="178"/>
      <c r="E56" s="157"/>
      <c r="F56" s="185"/>
      <c r="G56" s="2"/>
      <c r="H56" s="146"/>
      <c r="I56" s="4"/>
    </row>
  </sheetData>
  <mergeCells count="16">
    <mergeCell ref="A31:H31"/>
    <mergeCell ref="A28:H28"/>
    <mergeCell ref="A29:H29"/>
    <mergeCell ref="A1:H1"/>
    <mergeCell ref="A2:H2"/>
    <mergeCell ref="A3:H3"/>
    <mergeCell ref="A5:H5"/>
    <mergeCell ref="E7:F8"/>
    <mergeCell ref="G7:H8"/>
    <mergeCell ref="B7:B8"/>
    <mergeCell ref="A7:A8"/>
    <mergeCell ref="A4:H4"/>
    <mergeCell ref="C7:C8"/>
    <mergeCell ref="D7:D8"/>
    <mergeCell ref="B6:D6"/>
    <mergeCell ref="E6:H6"/>
  </mergeCells>
  <pageMargins left="0.7" right="0.7" top="0.75" bottom="0.75" header="0.3" footer="0.3"/>
  <pageSetup paperSize="9" scale="73" orientation="portrait" r:id="rId1"/>
  <ignoredErrors>
    <ignoredError sqref="F1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6"/>
  <sheetViews>
    <sheetView showGridLines="0" topLeftCell="H1" zoomScale="85" zoomScaleNormal="85" zoomScaleSheetLayoutView="100" workbookViewId="0">
      <selection activeCell="W27" sqref="W27"/>
    </sheetView>
  </sheetViews>
  <sheetFormatPr baseColWidth="10" defaultColWidth="11.42578125" defaultRowHeight="15" x14ac:dyDescent="0.25"/>
  <cols>
    <col min="1" max="1" width="12.28515625" style="1" customWidth="1"/>
    <col min="2" max="2" width="11" style="1" customWidth="1"/>
    <col min="3" max="3" width="11.5703125" style="1" customWidth="1"/>
    <col min="4" max="4" width="14.42578125" style="1" bestFit="1" customWidth="1"/>
    <col min="5" max="5" width="11" style="1" customWidth="1"/>
    <col min="6" max="6" width="10.28515625" style="1" customWidth="1"/>
    <col min="7" max="7" width="13" style="1" customWidth="1"/>
    <col min="8" max="8" width="11.28515625" style="1" customWidth="1"/>
    <col min="9" max="9" width="11.85546875" style="1" customWidth="1"/>
    <col min="10" max="10" width="14.140625" style="1" customWidth="1"/>
    <col min="11" max="11" width="10.85546875" style="1" customWidth="1"/>
    <col min="12" max="12" width="10.28515625" style="1" customWidth="1"/>
    <col min="13" max="13" width="14.42578125" style="1" bestFit="1" customWidth="1"/>
    <col min="14" max="14" width="11" style="1" customWidth="1"/>
    <col min="15" max="15" width="15.5703125" style="1" hidden="1" customWidth="1"/>
    <col min="16" max="16" width="16.5703125" style="1" hidden="1" customWidth="1"/>
    <col min="17" max="17" width="14.85546875" style="1" hidden="1" customWidth="1"/>
    <col min="18" max="18" width="17.7109375" style="1" hidden="1" customWidth="1"/>
    <col min="19" max="19" width="16.7109375" style="1" hidden="1" customWidth="1"/>
    <col min="20" max="20" width="12.28515625" style="1" hidden="1" customWidth="1"/>
    <col min="21" max="21" width="17.7109375" style="1" hidden="1" customWidth="1"/>
    <col min="22" max="22" width="0" style="1" hidden="1" customWidth="1"/>
    <col min="23" max="16384" width="11.42578125" style="1"/>
  </cols>
  <sheetData>
    <row r="1" spans="1:22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3"/>
    </row>
    <row r="2" spans="1:22" x14ac:dyDescent="0.25">
      <c r="A2" s="242" t="s">
        <v>122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22" x14ac:dyDescent="0.25">
      <c r="A3" s="242" t="s">
        <v>160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22" x14ac:dyDescent="0.25">
      <c r="A4" s="242" t="s">
        <v>225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22" x14ac:dyDescent="0.25">
      <c r="A5" s="243" t="s">
        <v>166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22" x14ac:dyDescent="0.25">
      <c r="A6" s="46"/>
      <c r="B6" s="255" t="s">
        <v>239</v>
      </c>
      <c r="C6" s="255"/>
      <c r="D6" s="255"/>
      <c r="E6" s="258" t="s">
        <v>141</v>
      </c>
      <c r="F6" s="258"/>
      <c r="G6" s="258"/>
      <c r="H6" s="256" t="s">
        <v>16</v>
      </c>
      <c r="I6" s="256"/>
      <c r="J6" s="256"/>
      <c r="K6" s="257" t="s">
        <v>17</v>
      </c>
      <c r="L6" s="257"/>
      <c r="M6" s="257"/>
    </row>
    <row r="7" spans="1:22" ht="25.5" x14ac:dyDescent="0.25">
      <c r="A7" s="47" t="s">
        <v>1</v>
      </c>
      <c r="B7" s="49" t="s">
        <v>18</v>
      </c>
      <c r="C7" s="49" t="s">
        <v>19</v>
      </c>
      <c r="D7" s="49" t="s">
        <v>20</v>
      </c>
      <c r="E7" s="49" t="s">
        <v>18</v>
      </c>
      <c r="F7" s="49" t="s">
        <v>19</v>
      </c>
      <c r="G7" s="49" t="s">
        <v>20</v>
      </c>
      <c r="H7" s="49" t="s">
        <v>18</v>
      </c>
      <c r="I7" s="49" t="s">
        <v>19</v>
      </c>
      <c r="J7" s="49" t="s">
        <v>20</v>
      </c>
      <c r="K7" s="49" t="s">
        <v>18</v>
      </c>
      <c r="L7" s="49" t="s">
        <v>19</v>
      </c>
      <c r="M7" s="49" t="s">
        <v>20</v>
      </c>
    </row>
    <row r="8" spans="1:22" x14ac:dyDescent="0.25">
      <c r="A8" s="48" t="s">
        <v>89</v>
      </c>
      <c r="B8" s="186">
        <v>116393</v>
      </c>
      <c r="C8" s="143">
        <v>128838</v>
      </c>
      <c r="D8" s="143">
        <v>1627982994.29</v>
      </c>
      <c r="E8" s="143">
        <v>9773</v>
      </c>
      <c r="F8" s="143">
        <v>9773</v>
      </c>
      <c r="G8" s="143">
        <v>58638000</v>
      </c>
      <c r="H8" s="143">
        <v>21364</v>
      </c>
      <c r="I8" s="143">
        <v>21426</v>
      </c>
      <c r="J8" s="143">
        <v>467547728.50999999</v>
      </c>
      <c r="K8" s="40">
        <f>+B8+H8+E8</f>
        <v>147530</v>
      </c>
      <c r="L8" s="41">
        <f t="shared" ref="L8" si="0">+C8+I8+F8</f>
        <v>160037</v>
      </c>
      <c r="M8" s="40">
        <f t="shared" ref="M8" si="1">+D8+J8+G8</f>
        <v>2154168722.8000002</v>
      </c>
      <c r="U8" s="128">
        <f>+U30/1000000</f>
        <v>361.67699280000113</v>
      </c>
    </row>
    <row r="9" spans="1:22" x14ac:dyDescent="0.25">
      <c r="A9" s="48" t="s">
        <v>88</v>
      </c>
      <c r="B9" s="186">
        <v>116396</v>
      </c>
      <c r="C9" s="187">
        <v>128896</v>
      </c>
      <c r="D9" s="143">
        <v>1623226524.2</v>
      </c>
      <c r="E9" s="143">
        <v>9768</v>
      </c>
      <c r="F9" s="143">
        <v>9768</v>
      </c>
      <c r="G9" s="143">
        <v>58608000</v>
      </c>
      <c r="H9" s="143">
        <v>21357</v>
      </c>
      <c r="I9" s="143">
        <v>21418</v>
      </c>
      <c r="J9" s="143">
        <v>467248363.23000002</v>
      </c>
      <c r="K9" s="40">
        <f t="shared" ref="K9:M9" si="2">+B9+H9+E9</f>
        <v>147521</v>
      </c>
      <c r="L9" s="41">
        <f t="shared" si="2"/>
        <v>160082</v>
      </c>
      <c r="M9" s="40">
        <f t="shared" si="2"/>
        <v>2149082887.4300003</v>
      </c>
      <c r="Q9" s="38">
        <f>+L10-L9</f>
        <v>-417</v>
      </c>
    </row>
    <row r="10" spans="1:22" x14ac:dyDescent="0.25">
      <c r="A10" s="48" t="s">
        <v>87</v>
      </c>
      <c r="B10" s="186">
        <v>116286</v>
      </c>
      <c r="C10" s="143">
        <v>128792</v>
      </c>
      <c r="D10" s="143">
        <v>1618889063.7</v>
      </c>
      <c r="E10" s="143">
        <v>9765</v>
      </c>
      <c r="F10" s="143">
        <v>9765</v>
      </c>
      <c r="G10" s="143">
        <v>58590000</v>
      </c>
      <c r="H10" s="143">
        <v>21052</v>
      </c>
      <c r="I10" s="143">
        <v>21108</v>
      </c>
      <c r="J10" s="143">
        <v>451075457.5</v>
      </c>
      <c r="K10" s="40">
        <f>+B10+H10+E10</f>
        <v>147103</v>
      </c>
      <c r="L10" s="41">
        <f t="shared" ref="L10" si="3">+C10+I10+F10</f>
        <v>159665</v>
      </c>
      <c r="M10" s="148">
        <f t="shared" ref="M10" si="4">+D10+J10+G10</f>
        <v>2128554521.2</v>
      </c>
      <c r="S10" s="36"/>
      <c r="V10" s="1">
        <f>+U30/1000000</f>
        <v>361.67699280000113</v>
      </c>
    </row>
    <row r="11" spans="1:22" x14ac:dyDescent="0.25">
      <c r="A11" s="30" t="s">
        <v>94</v>
      </c>
      <c r="B11" s="42">
        <f>+B8</f>
        <v>116393</v>
      </c>
      <c r="C11" s="42">
        <f>+C8</f>
        <v>128838</v>
      </c>
      <c r="D11" s="42">
        <f>+SUM(D8:D10)</f>
        <v>4870098582.1899996</v>
      </c>
      <c r="E11" s="42">
        <f>+E8</f>
        <v>9773</v>
      </c>
      <c r="F11" s="42">
        <f>+F8</f>
        <v>9773</v>
      </c>
      <c r="G11" s="42">
        <f>+SUM(G8:G10)</f>
        <v>175836000</v>
      </c>
      <c r="H11" s="42">
        <f>+H8</f>
        <v>21364</v>
      </c>
      <c r="I11" s="42">
        <f>+I8</f>
        <v>21426</v>
      </c>
      <c r="J11" s="147">
        <f>+SUM(J8:J10)</f>
        <v>1385871549.24</v>
      </c>
      <c r="K11" s="42">
        <f>+K8</f>
        <v>147530</v>
      </c>
      <c r="L11" s="42">
        <f>+L8</f>
        <v>160037</v>
      </c>
      <c r="M11" s="147">
        <f>SUM(M8:M10)</f>
        <v>6431806131.4300003</v>
      </c>
      <c r="S11" s="254" t="s">
        <v>223</v>
      </c>
      <c r="T11" s="254"/>
      <c r="U11" s="254"/>
    </row>
    <row r="12" spans="1:22" hidden="1" x14ac:dyDescent="0.25">
      <c r="A12" s="48" t="s">
        <v>36</v>
      </c>
      <c r="B12" s="186"/>
      <c r="C12" s="143"/>
      <c r="D12" s="143"/>
      <c r="E12" s="143"/>
      <c r="F12" s="143"/>
      <c r="G12" s="143"/>
      <c r="H12" s="143"/>
      <c r="I12" s="143"/>
      <c r="J12" s="143"/>
      <c r="K12" s="40">
        <f t="shared" ref="K12:M14" si="5">+B12+H12+E12</f>
        <v>0</v>
      </c>
      <c r="L12" s="41">
        <f t="shared" si="5"/>
        <v>0</v>
      </c>
      <c r="M12" s="40">
        <f t="shared" si="5"/>
        <v>0</v>
      </c>
    </row>
    <row r="13" spans="1:22" hidden="1" x14ac:dyDescent="0.25">
      <c r="A13" s="48" t="s">
        <v>37</v>
      </c>
      <c r="B13" s="186"/>
      <c r="C13" s="187"/>
      <c r="D13" s="143"/>
      <c r="E13" s="143"/>
      <c r="F13" s="143"/>
      <c r="G13" s="143"/>
      <c r="H13" s="143"/>
      <c r="I13" s="143"/>
      <c r="J13" s="143"/>
      <c r="K13" s="40">
        <f t="shared" si="5"/>
        <v>0</v>
      </c>
      <c r="L13" s="41">
        <f t="shared" si="5"/>
        <v>0</v>
      </c>
      <c r="M13" s="40">
        <f t="shared" si="5"/>
        <v>0</v>
      </c>
    </row>
    <row r="14" spans="1:22" hidden="1" x14ac:dyDescent="0.25">
      <c r="A14" s="48" t="s">
        <v>38</v>
      </c>
      <c r="B14" s="186"/>
      <c r="C14" s="143"/>
      <c r="D14" s="143"/>
      <c r="E14" s="143"/>
      <c r="F14" s="143"/>
      <c r="G14" s="143"/>
      <c r="H14" s="143"/>
      <c r="I14" s="143"/>
      <c r="J14" s="143"/>
      <c r="K14" s="40">
        <f t="shared" si="5"/>
        <v>0</v>
      </c>
      <c r="L14" s="41">
        <f t="shared" si="5"/>
        <v>0</v>
      </c>
      <c r="M14" s="40">
        <f t="shared" si="5"/>
        <v>0</v>
      </c>
      <c r="Q14" s="38">
        <f>+M10-M9</f>
        <v>-20528366.230000257</v>
      </c>
      <c r="S14" s="36"/>
    </row>
    <row r="15" spans="1:22" hidden="1" x14ac:dyDescent="0.25">
      <c r="A15" s="30" t="s">
        <v>131</v>
      </c>
      <c r="B15" s="42">
        <f>+B14</f>
        <v>0</v>
      </c>
      <c r="C15" s="42">
        <f>+C14</f>
        <v>0</v>
      </c>
      <c r="D15" s="42">
        <f>+SUM(D12:D14)</f>
        <v>0</v>
      </c>
      <c r="E15" s="42">
        <f>+E14</f>
        <v>0</v>
      </c>
      <c r="F15" s="42">
        <f>+F14</f>
        <v>0</v>
      </c>
      <c r="G15" s="42">
        <f>+SUM(G12:G14)</f>
        <v>0</v>
      </c>
      <c r="H15" s="42">
        <f>+H14</f>
        <v>0</v>
      </c>
      <c r="I15" s="42">
        <f>+I14</f>
        <v>0</v>
      </c>
      <c r="J15" s="42">
        <f>+SUM(J12:J14)</f>
        <v>0</v>
      </c>
      <c r="K15" s="42">
        <f>+K14</f>
        <v>0</v>
      </c>
      <c r="L15" s="43">
        <f>+L14</f>
        <v>0</v>
      </c>
      <c r="M15" s="42">
        <f>+SUM(M12:M14)</f>
        <v>0</v>
      </c>
    </row>
    <row r="16" spans="1:22" hidden="1" x14ac:dyDescent="0.25">
      <c r="A16" s="48" t="s">
        <v>87</v>
      </c>
      <c r="B16" s="186"/>
      <c r="C16" s="143"/>
      <c r="D16" s="143"/>
      <c r="E16" s="143"/>
      <c r="F16" s="143"/>
      <c r="G16" s="143"/>
      <c r="H16" s="143"/>
      <c r="I16" s="143"/>
      <c r="J16" s="143"/>
      <c r="K16" s="40">
        <f t="shared" ref="K16:M18" si="6">+B16+H16+E16</f>
        <v>0</v>
      </c>
      <c r="L16" s="41">
        <f t="shared" si="6"/>
        <v>0</v>
      </c>
      <c r="M16" s="40">
        <f t="shared" si="6"/>
        <v>0</v>
      </c>
    </row>
    <row r="17" spans="1:21" hidden="1" x14ac:dyDescent="0.25">
      <c r="A17" s="48" t="s">
        <v>88</v>
      </c>
      <c r="B17" s="186"/>
      <c r="C17" s="187"/>
      <c r="D17" s="143"/>
      <c r="E17" s="143"/>
      <c r="F17" s="143"/>
      <c r="G17" s="143"/>
      <c r="H17" s="143"/>
      <c r="I17" s="143"/>
      <c r="J17" s="143"/>
      <c r="K17" s="40">
        <f t="shared" si="6"/>
        <v>0</v>
      </c>
      <c r="L17" s="41">
        <f t="shared" si="6"/>
        <v>0</v>
      </c>
      <c r="M17" s="40">
        <f t="shared" si="6"/>
        <v>0</v>
      </c>
    </row>
    <row r="18" spans="1:21" hidden="1" x14ac:dyDescent="0.25">
      <c r="A18" s="48" t="s">
        <v>89</v>
      </c>
      <c r="B18" s="186"/>
      <c r="C18" s="143"/>
      <c r="D18" s="143"/>
      <c r="E18" s="143"/>
      <c r="F18" s="143"/>
      <c r="G18" s="143"/>
      <c r="H18" s="143"/>
      <c r="I18" s="143"/>
      <c r="J18" s="143"/>
      <c r="K18" s="40">
        <f t="shared" si="6"/>
        <v>0</v>
      </c>
      <c r="L18" s="41">
        <f t="shared" si="6"/>
        <v>0</v>
      </c>
      <c r="M18" s="40">
        <f t="shared" si="6"/>
        <v>0</v>
      </c>
      <c r="S18" s="36"/>
    </row>
    <row r="19" spans="1:21" hidden="1" x14ac:dyDescent="0.25">
      <c r="A19" s="30" t="s">
        <v>94</v>
      </c>
      <c r="B19" s="42">
        <f>+B18</f>
        <v>0</v>
      </c>
      <c r="C19" s="42">
        <f>+C18</f>
        <v>0</v>
      </c>
      <c r="D19" s="42">
        <f>+SUM(D16:D18)</f>
        <v>0</v>
      </c>
      <c r="E19" s="42">
        <f>+E18</f>
        <v>0</v>
      </c>
      <c r="F19" s="42">
        <f>+F18</f>
        <v>0</v>
      </c>
      <c r="G19" s="42">
        <f>+SUM(G16:G18)</f>
        <v>0</v>
      </c>
      <c r="H19" s="42">
        <f>+H18</f>
        <v>0</v>
      </c>
      <c r="I19" s="42">
        <f>+I18</f>
        <v>0</v>
      </c>
      <c r="J19" s="42">
        <f>+SUM(J16:J18)</f>
        <v>0</v>
      </c>
      <c r="K19" s="42">
        <f>+K18</f>
        <v>0</v>
      </c>
      <c r="L19" s="43">
        <f>+L18</f>
        <v>0</v>
      </c>
      <c r="M19" s="42">
        <f>+SUM(M16:M18)</f>
        <v>0</v>
      </c>
    </row>
    <row r="20" spans="1:21" hidden="1" x14ac:dyDescent="0.25">
      <c r="A20" s="48" t="s">
        <v>90</v>
      </c>
      <c r="B20" s="186"/>
      <c r="C20" s="143"/>
      <c r="D20" s="143"/>
      <c r="E20" s="143"/>
      <c r="F20" s="143"/>
      <c r="G20" s="143"/>
      <c r="H20" s="143"/>
      <c r="I20" s="143"/>
      <c r="J20" s="143"/>
      <c r="K20" s="40">
        <f t="shared" ref="K20:M23" si="7">+B20+H20+E20</f>
        <v>0</v>
      </c>
      <c r="L20" s="41">
        <f t="shared" si="7"/>
        <v>0</v>
      </c>
      <c r="M20" s="40">
        <f t="shared" si="7"/>
        <v>0</v>
      </c>
    </row>
    <row r="21" spans="1:21" hidden="1" x14ac:dyDescent="0.25">
      <c r="A21" s="48" t="s">
        <v>91</v>
      </c>
      <c r="B21" s="186"/>
      <c r="C21" s="187"/>
      <c r="D21" s="143"/>
      <c r="E21" s="143"/>
      <c r="F21" s="143"/>
      <c r="G21" s="143"/>
      <c r="H21" s="143"/>
      <c r="I21" s="143"/>
      <c r="J21" s="143"/>
      <c r="K21" s="40">
        <f t="shared" si="7"/>
        <v>0</v>
      </c>
      <c r="L21" s="41">
        <f t="shared" si="7"/>
        <v>0</v>
      </c>
      <c r="M21" s="40">
        <f t="shared" si="7"/>
        <v>0</v>
      </c>
    </row>
    <row r="22" spans="1:21" hidden="1" x14ac:dyDescent="0.25">
      <c r="A22" s="48" t="s">
        <v>92</v>
      </c>
      <c r="B22" s="186"/>
      <c r="C22" s="143"/>
      <c r="D22" s="143"/>
      <c r="E22" s="143"/>
      <c r="F22" s="143"/>
      <c r="G22" s="143"/>
      <c r="H22" s="143"/>
      <c r="I22" s="143"/>
      <c r="J22" s="143"/>
      <c r="K22" s="40">
        <f t="shared" si="7"/>
        <v>0</v>
      </c>
      <c r="L22" s="41">
        <f t="shared" si="7"/>
        <v>0</v>
      </c>
      <c r="M22" s="40">
        <f t="shared" si="7"/>
        <v>0</v>
      </c>
      <c r="S22" s="36"/>
    </row>
    <row r="23" spans="1:21" hidden="1" x14ac:dyDescent="0.25">
      <c r="A23" s="48" t="s">
        <v>128</v>
      </c>
      <c r="B23" s="186"/>
      <c r="C23" s="143"/>
      <c r="D23" s="143"/>
      <c r="E23" s="143"/>
      <c r="F23" s="143"/>
      <c r="G23" s="143"/>
      <c r="H23" s="143"/>
      <c r="I23" s="143"/>
      <c r="J23" s="143"/>
      <c r="K23" s="40">
        <f t="shared" si="7"/>
        <v>0</v>
      </c>
      <c r="L23" s="41">
        <f t="shared" si="7"/>
        <v>0</v>
      </c>
      <c r="M23" s="40">
        <f t="shared" si="7"/>
        <v>0</v>
      </c>
    </row>
    <row r="24" spans="1:21" hidden="1" x14ac:dyDescent="0.25">
      <c r="A24" s="30" t="s">
        <v>95</v>
      </c>
      <c r="B24" s="42">
        <f>+B23</f>
        <v>0</v>
      </c>
      <c r="C24" s="42">
        <f>+C23</f>
        <v>0</v>
      </c>
      <c r="D24" s="42">
        <f>+SUM(D20:D23)</f>
        <v>0</v>
      </c>
      <c r="E24" s="42">
        <f>+E23</f>
        <v>0</v>
      </c>
      <c r="F24" s="42">
        <f>+F23</f>
        <v>0</v>
      </c>
      <c r="G24" s="42">
        <f>+SUM(G20:G23)</f>
        <v>0</v>
      </c>
      <c r="H24" s="42">
        <f>+H23</f>
        <v>0</v>
      </c>
      <c r="I24" s="42">
        <f>+I23</f>
        <v>0</v>
      </c>
      <c r="J24" s="42">
        <f>+SUM(J20:J23)</f>
        <v>0</v>
      </c>
      <c r="K24" s="42">
        <f>+K23</f>
        <v>0</v>
      </c>
      <c r="L24" s="43">
        <f>+L23</f>
        <v>0</v>
      </c>
      <c r="M24" s="42">
        <f>+SUM(M20:M23)</f>
        <v>0</v>
      </c>
    </row>
    <row r="25" spans="1:21" hidden="1" x14ac:dyDescent="0.25">
      <c r="A25" s="31" t="s">
        <v>9</v>
      </c>
      <c r="B25" s="44">
        <f>+B24</f>
        <v>0</v>
      </c>
      <c r="C25" s="44">
        <f>+C24</f>
        <v>0</v>
      </c>
      <c r="D25" s="44">
        <f>+D11+D15+D19+D24</f>
        <v>4870098582.1899996</v>
      </c>
      <c r="E25" s="44">
        <f>+E24</f>
        <v>0</v>
      </c>
      <c r="F25" s="44">
        <f>+F24</f>
        <v>0</v>
      </c>
      <c r="G25" s="44">
        <f>+G11+G15+G19+G24</f>
        <v>175836000</v>
      </c>
      <c r="H25" s="44">
        <f>+H24</f>
        <v>0</v>
      </c>
      <c r="I25" s="44">
        <f>+I24</f>
        <v>0</v>
      </c>
      <c r="J25" s="44">
        <f>+J11+J15+J19+J24</f>
        <v>1385871549.24</v>
      </c>
      <c r="K25" s="44">
        <f>+K24</f>
        <v>0</v>
      </c>
      <c r="L25" s="45">
        <f>+L24</f>
        <v>0</v>
      </c>
      <c r="M25" s="44">
        <f>+M11+M15+M19+M24</f>
        <v>6431806131.4300003</v>
      </c>
    </row>
    <row r="26" spans="1:21" hidden="1" x14ac:dyDescent="0.25">
      <c r="A26" s="153" t="s">
        <v>95</v>
      </c>
      <c r="B26" s="188"/>
      <c r="C26" s="188"/>
      <c r="D26" s="189">
        <f>+D11/M11</f>
        <v>0.75718989078223631</v>
      </c>
      <c r="E26" s="190"/>
      <c r="F26" s="190"/>
      <c r="G26" s="189">
        <f>+G11/M11</f>
        <v>2.7338510584258846E-2</v>
      </c>
      <c r="H26" s="190"/>
      <c r="I26" s="190"/>
      <c r="J26" s="189">
        <f>+J11/M11</f>
        <v>0.21547159863350476</v>
      </c>
      <c r="K26" s="188"/>
      <c r="L26" s="188"/>
      <c r="M26" s="188"/>
      <c r="R26" s="38"/>
    </row>
    <row r="27" spans="1:21" x14ac:dyDescent="0.25">
      <c r="A27" s="162"/>
      <c r="B27" s="153"/>
      <c r="C27" s="153"/>
      <c r="D27" s="191">
        <f>+D11/M11</f>
        <v>0.75718989078223631</v>
      </c>
      <c r="E27" s="153"/>
      <c r="F27" s="153"/>
      <c r="G27" s="191">
        <f>+G11/$M$11</f>
        <v>2.7338510584258846E-2</v>
      </c>
      <c r="H27" s="153"/>
      <c r="I27" s="153"/>
      <c r="J27" s="191">
        <f>+J11/$M$11</f>
        <v>0.21547159863350476</v>
      </c>
      <c r="K27" s="192"/>
      <c r="L27" s="153"/>
      <c r="M27" s="153"/>
      <c r="Q27" s="89" t="s">
        <v>147</v>
      </c>
      <c r="R27" s="89"/>
      <c r="S27" s="90"/>
    </row>
    <row r="28" spans="1:21" x14ac:dyDescent="0.25">
      <c r="A28" s="162" t="s">
        <v>176</v>
      </c>
      <c r="B28" s="153"/>
      <c r="C28" s="153"/>
      <c r="D28" s="153"/>
      <c r="E28" s="153"/>
      <c r="F28" s="153"/>
      <c r="G28" s="153"/>
      <c r="H28" s="153"/>
      <c r="I28" s="153"/>
      <c r="J28" s="172"/>
      <c r="K28" s="153"/>
      <c r="L28" s="153"/>
      <c r="M28" s="153"/>
      <c r="P28" s="1" t="s">
        <v>145</v>
      </c>
      <c r="Q28" s="37" t="s">
        <v>144</v>
      </c>
      <c r="R28" s="81" t="s">
        <v>20</v>
      </c>
      <c r="S28" s="88" t="s">
        <v>150</v>
      </c>
      <c r="T28" s="81" t="s">
        <v>144</v>
      </c>
      <c r="U28" s="1" t="s">
        <v>20</v>
      </c>
    </row>
    <row r="29" spans="1:21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Q29" s="79"/>
      <c r="R29" s="39"/>
      <c r="S29" s="80">
        <v>145883</v>
      </c>
      <c r="T29" s="14">
        <v>158341</v>
      </c>
      <c r="U29" s="14">
        <v>6070129138.6299992</v>
      </c>
    </row>
    <row r="30" spans="1:21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Q30" s="87"/>
      <c r="R30" s="87"/>
      <c r="S30" s="38">
        <f>+K11-S29</f>
        <v>1647</v>
      </c>
      <c r="T30" s="38">
        <f>+L11-T29</f>
        <v>1696</v>
      </c>
      <c r="U30" s="38">
        <f>+M11-U29</f>
        <v>361676992.80000114</v>
      </c>
    </row>
    <row r="31" spans="1:21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R31" s="39"/>
    </row>
    <row r="32" spans="1:21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</row>
    <row r="33" spans="1:21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S33" s="95">
        <f>+(K11-S29)/S29</f>
        <v>1.1289869278805618E-2</v>
      </c>
      <c r="T33" s="95">
        <f>+(L11-T29)/T29</f>
        <v>1.0711060306553577E-2</v>
      </c>
      <c r="U33" s="95">
        <f>+(M11-U29)/U29</f>
        <v>5.9583080448537211E-2</v>
      </c>
    </row>
    <row r="34" spans="1:21" x14ac:dyDescent="0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</row>
    <row r="35" spans="1:21" x14ac:dyDescent="0.2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</row>
    <row r="36" spans="1:21" x14ac:dyDescent="0.2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S36" s="1" t="s">
        <v>224</v>
      </c>
    </row>
    <row r="37" spans="1:21" x14ac:dyDescent="0.2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S37" s="138" t="s">
        <v>150</v>
      </c>
      <c r="T37" s="138" t="s">
        <v>144</v>
      </c>
      <c r="U37" s="138" t="s">
        <v>20</v>
      </c>
    </row>
    <row r="38" spans="1:21" x14ac:dyDescent="0.2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S38" s="138">
        <v>139458</v>
      </c>
      <c r="T38" s="138">
        <v>151810</v>
      </c>
      <c r="U38" s="138">
        <v>5844095640.5</v>
      </c>
    </row>
    <row r="39" spans="1:21" x14ac:dyDescent="0.2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S39" s="138">
        <f>K11-S38</f>
        <v>8072</v>
      </c>
      <c r="T39" s="138">
        <f>L11-T38</f>
        <v>8227</v>
      </c>
      <c r="U39" s="138">
        <f>M11-U38</f>
        <v>587710490.93000031</v>
      </c>
    </row>
    <row r="40" spans="1:21" x14ac:dyDescent="0.2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S40" s="138"/>
      <c r="T40" s="138"/>
      <c r="U40" s="138"/>
    </row>
    <row r="41" spans="1:21" x14ac:dyDescent="0.2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S41" s="138"/>
      <c r="T41" s="138"/>
      <c r="U41" s="138"/>
    </row>
    <row r="42" spans="1:21" x14ac:dyDescent="0.25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S42" s="95">
        <f>+(K11-S38)/S38</f>
        <v>5.7881225888798064E-2</v>
      </c>
      <c r="T42" s="95">
        <f>+(L11-T38)/T38</f>
        <v>5.4192740926157695E-2</v>
      </c>
      <c r="U42" s="95">
        <f>+(M11-U38)/U38</f>
        <v>0.10056483108474897</v>
      </c>
    </row>
    <row r="43" spans="1:21" x14ac:dyDescent="0.25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</row>
    <row r="44" spans="1:21" x14ac:dyDescent="0.2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</row>
    <row r="45" spans="1:21" x14ac:dyDescent="0.2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</row>
    <row r="46" spans="1:21" x14ac:dyDescent="0.2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</row>
    <row r="47" spans="1:21" x14ac:dyDescent="0.25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</row>
    <row r="48" spans="1:21" x14ac:dyDescent="0.2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</row>
    <row r="49" spans="1:14" x14ac:dyDescent="0.2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</row>
    <row r="50" spans="1:14" x14ac:dyDescent="0.2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</row>
    <row r="51" spans="1:14" x14ac:dyDescent="0.2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</row>
    <row r="52" spans="1:14" x14ac:dyDescent="0.2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</row>
    <row r="53" spans="1:14" x14ac:dyDescent="0.2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</row>
    <row r="54" spans="1:14" x14ac:dyDescent="0.2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</row>
    <row r="55" spans="1:14" x14ac:dyDescent="0.2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</row>
    <row r="56" spans="1:14" x14ac:dyDescent="0.2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</row>
    <row r="57" spans="1:14" x14ac:dyDescent="0.2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</row>
    <row r="58" spans="1:14" x14ac:dyDescent="0.2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</row>
    <row r="64" spans="1:14" x14ac:dyDescent="0.25">
      <c r="B64" s="48"/>
      <c r="C64" s="186"/>
      <c r="D64" s="143"/>
      <c r="E64" s="143"/>
      <c r="F64" s="143"/>
      <c r="G64" s="143"/>
      <c r="H64" s="143"/>
      <c r="I64" s="143"/>
      <c r="J64" s="143"/>
      <c r="K64" s="143"/>
      <c r="L64" s="40"/>
      <c r="M64" s="41"/>
      <c r="N64" s="40"/>
    </row>
    <row r="66" spans="2:14" x14ac:dyDescent="0.25">
      <c r="B66" s="48"/>
      <c r="C66" s="186"/>
      <c r="D66" s="143"/>
      <c r="E66" s="143"/>
      <c r="F66" s="143"/>
      <c r="G66" s="143"/>
      <c r="H66" s="143"/>
      <c r="I66" s="143"/>
      <c r="J66" s="143"/>
      <c r="K66" s="143"/>
      <c r="L66" s="40"/>
      <c r="M66" s="41"/>
      <c r="N66" s="148"/>
    </row>
  </sheetData>
  <mergeCells count="10">
    <mergeCell ref="S11:U11"/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52" orientation="portrait" r:id="rId1"/>
  <colBreaks count="1" manualBreakCount="1">
    <brk id="14" max="1048575" man="1"/>
  </colBreaks>
  <ignoredErrors>
    <ignoredError sqref="L11:M11 G11 D11 J11:K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M44"/>
  <sheetViews>
    <sheetView showGridLines="0" topLeftCell="H3" zoomScale="115" zoomScaleNormal="115" workbookViewId="0">
      <selection activeCell="L11" sqref="L11"/>
    </sheetView>
  </sheetViews>
  <sheetFormatPr baseColWidth="10" defaultColWidth="11.42578125" defaultRowHeight="15" x14ac:dyDescent="0.25"/>
  <cols>
    <col min="1" max="1" width="11.42578125" style="1"/>
    <col min="2" max="11" width="13.42578125" style="1" customWidth="1"/>
    <col min="12" max="16384" width="11.42578125" style="1"/>
  </cols>
  <sheetData>
    <row r="1" spans="1:13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3" x14ac:dyDescent="0.25">
      <c r="A2" s="242" t="s">
        <v>122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3" x14ac:dyDescent="0.25">
      <c r="A3" s="242" t="s">
        <v>161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3" x14ac:dyDescent="0.25">
      <c r="A4" s="242" t="s">
        <v>225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3"/>
      <c r="M4" s="23"/>
    </row>
    <row r="5" spans="1:13" x14ac:dyDescent="0.25">
      <c r="A5" s="243" t="s">
        <v>166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</row>
    <row r="6" spans="1:13" x14ac:dyDescent="0.25">
      <c r="A6" s="260" t="s">
        <v>25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3" ht="15" customHeight="1" x14ac:dyDescent="0.25">
      <c r="A7" s="193"/>
      <c r="B7" s="245" t="s">
        <v>21</v>
      </c>
      <c r="C7" s="245"/>
      <c r="D7" s="245" t="s">
        <v>151</v>
      </c>
      <c r="E7" s="245"/>
      <c r="F7" s="245" t="s">
        <v>22</v>
      </c>
      <c r="G7" s="245"/>
      <c r="H7" s="259" t="s">
        <v>23</v>
      </c>
      <c r="I7" s="259"/>
      <c r="J7" s="259" t="s">
        <v>9</v>
      </c>
      <c r="K7" s="259"/>
      <c r="L7" s="153"/>
      <c r="M7" s="153"/>
    </row>
    <row r="8" spans="1:13" x14ac:dyDescent="0.25">
      <c r="A8" s="169" t="s">
        <v>1</v>
      </c>
      <c r="B8" s="169" t="s">
        <v>24</v>
      </c>
      <c r="C8" s="169" t="s">
        <v>20</v>
      </c>
      <c r="D8" s="169" t="s">
        <v>24</v>
      </c>
      <c r="E8" s="169" t="s">
        <v>20</v>
      </c>
      <c r="F8" s="169" t="s">
        <v>24</v>
      </c>
      <c r="G8" s="169" t="s">
        <v>20</v>
      </c>
      <c r="H8" s="169" t="s">
        <v>24</v>
      </c>
      <c r="I8" s="169" t="s">
        <v>20</v>
      </c>
      <c r="J8" s="169" t="s">
        <v>24</v>
      </c>
      <c r="K8" s="169" t="s">
        <v>20</v>
      </c>
      <c r="L8" s="153"/>
      <c r="M8" s="153"/>
    </row>
    <row r="9" spans="1:13" x14ac:dyDescent="0.25">
      <c r="A9" s="75" t="s">
        <v>89</v>
      </c>
      <c r="B9" s="194">
        <v>644</v>
      </c>
      <c r="C9" s="194">
        <v>12536039.6</v>
      </c>
      <c r="D9" s="194">
        <v>9</v>
      </c>
      <c r="E9" s="194">
        <v>185565.55</v>
      </c>
      <c r="F9" s="194">
        <v>363</v>
      </c>
      <c r="G9" s="194">
        <v>3999498.8499999996</v>
      </c>
      <c r="H9" s="194">
        <v>326</v>
      </c>
      <c r="I9" s="194">
        <v>3640270.93</v>
      </c>
      <c r="J9" s="51">
        <f t="shared" ref="J9" si="0">+B9-(F9+H9)</f>
        <v>-45</v>
      </c>
      <c r="K9" s="85">
        <f t="shared" ref="K9" si="1">+(E9+C9)-(G9+I9)</f>
        <v>5081835.370000001</v>
      </c>
      <c r="L9" s="153"/>
      <c r="M9" s="153"/>
    </row>
    <row r="10" spans="1:13" x14ac:dyDescent="0.25">
      <c r="A10" s="75" t="s">
        <v>88</v>
      </c>
      <c r="B10" s="194">
        <v>1124</v>
      </c>
      <c r="C10" s="194">
        <v>27951214.800000001</v>
      </c>
      <c r="D10" s="194">
        <v>14</v>
      </c>
      <c r="E10" s="194">
        <v>177672.9</v>
      </c>
      <c r="F10" s="194">
        <v>523</v>
      </c>
      <c r="G10" s="194">
        <v>5271910.1199999992</v>
      </c>
      <c r="H10" s="194">
        <v>184</v>
      </c>
      <c r="I10" s="194">
        <v>2345111.3499999996</v>
      </c>
      <c r="J10" s="51">
        <f t="shared" ref="J10:J23" si="2">+B10-(F10+H10)</f>
        <v>417</v>
      </c>
      <c r="K10" s="85">
        <f t="shared" ref="K10" si="3">+(E10+C10)-(G10+I10)</f>
        <v>20511866.23</v>
      </c>
      <c r="L10" s="153"/>
      <c r="M10" s="153"/>
    </row>
    <row r="11" spans="1:13" x14ac:dyDescent="0.25">
      <c r="A11" s="75" t="s">
        <v>87</v>
      </c>
      <c r="B11" s="194">
        <v>1813</v>
      </c>
      <c r="C11" s="194">
        <v>86016211.650000006</v>
      </c>
      <c r="D11" s="194">
        <v>722</v>
      </c>
      <c r="E11" s="194">
        <v>9016735.0999999996</v>
      </c>
      <c r="F11" s="194">
        <v>459</v>
      </c>
      <c r="G11" s="194">
        <v>5353448.84</v>
      </c>
      <c r="H11" s="194">
        <v>190</v>
      </c>
      <c r="I11" s="194">
        <v>2204483.1399999997</v>
      </c>
      <c r="J11" s="51">
        <f>+B11-(F11+H11)</f>
        <v>1164</v>
      </c>
      <c r="K11" s="85">
        <f>+(E11+C11)-(G11+I11)</f>
        <v>87475014.769999996</v>
      </c>
      <c r="L11" s="153"/>
      <c r="M11" s="153"/>
    </row>
    <row r="12" spans="1:13" x14ac:dyDescent="0.25">
      <c r="A12" s="50" t="s">
        <v>94</v>
      </c>
      <c r="B12" s="8">
        <f>SUM(B9:B11)</f>
        <v>3581</v>
      </c>
      <c r="C12" s="8">
        <f>SUM(C9:C11)</f>
        <v>126503466.05000001</v>
      </c>
      <c r="D12" s="8">
        <f>SUM(D9:D11)</f>
        <v>745</v>
      </c>
      <c r="E12" s="8">
        <f t="shared" ref="E12:I12" si="4">SUM(E9:E11)</f>
        <v>9379973.5499999989</v>
      </c>
      <c r="F12" s="8">
        <f t="shared" si="4"/>
        <v>1345</v>
      </c>
      <c r="G12" s="8">
        <f t="shared" si="4"/>
        <v>14624857.809999999</v>
      </c>
      <c r="H12" s="8">
        <f t="shared" si="4"/>
        <v>700</v>
      </c>
      <c r="I12" s="8">
        <f t="shared" si="4"/>
        <v>8189865.419999999</v>
      </c>
      <c r="J12" s="8">
        <f>SUM(J9:J11)</f>
        <v>1536</v>
      </c>
      <c r="K12" s="86">
        <f>SUM(K9:K11)</f>
        <v>113068716.37</v>
      </c>
      <c r="L12" s="153"/>
      <c r="M12" s="153"/>
    </row>
    <row r="13" spans="1:13" hidden="1" x14ac:dyDescent="0.25">
      <c r="A13" s="75" t="s">
        <v>36</v>
      </c>
      <c r="B13" s="194"/>
      <c r="C13" s="194"/>
      <c r="D13" s="194"/>
      <c r="E13" s="194"/>
      <c r="F13" s="194"/>
      <c r="G13" s="194"/>
      <c r="H13" s="194"/>
      <c r="I13" s="194"/>
      <c r="J13" s="51">
        <f t="shared" si="2"/>
        <v>0</v>
      </c>
      <c r="K13" s="51">
        <f t="shared" ref="K13:K23" si="5">+G13+I13+E13+C13</f>
        <v>0</v>
      </c>
      <c r="L13" s="153"/>
      <c r="M13" s="153"/>
    </row>
    <row r="14" spans="1:13" hidden="1" x14ac:dyDescent="0.25">
      <c r="A14" s="75" t="s">
        <v>37</v>
      </c>
      <c r="B14" s="194"/>
      <c r="C14" s="194"/>
      <c r="D14" s="194"/>
      <c r="E14" s="194"/>
      <c r="F14" s="194"/>
      <c r="G14" s="194"/>
      <c r="H14" s="194"/>
      <c r="I14" s="194"/>
      <c r="J14" s="51">
        <f t="shared" si="2"/>
        <v>0</v>
      </c>
      <c r="K14" s="51">
        <f t="shared" si="5"/>
        <v>0</v>
      </c>
      <c r="L14" s="153"/>
      <c r="M14" s="153"/>
    </row>
    <row r="15" spans="1:13" hidden="1" x14ac:dyDescent="0.25">
      <c r="A15" s="75" t="s">
        <v>38</v>
      </c>
      <c r="B15" s="194"/>
      <c r="C15" s="194"/>
      <c r="D15" s="194"/>
      <c r="E15" s="194"/>
      <c r="F15" s="194"/>
      <c r="G15" s="194"/>
      <c r="H15" s="194"/>
      <c r="I15" s="194"/>
      <c r="J15" s="51">
        <f t="shared" si="2"/>
        <v>0</v>
      </c>
      <c r="K15" s="51">
        <f t="shared" si="5"/>
        <v>0</v>
      </c>
      <c r="L15" s="153"/>
      <c r="M15" s="153"/>
    </row>
    <row r="16" spans="1:13" hidden="1" x14ac:dyDescent="0.25">
      <c r="A16" s="50" t="s">
        <v>131</v>
      </c>
      <c r="B16" s="8">
        <f t="shared" ref="B16:K16" si="6">SUM(B13:B15)</f>
        <v>0</v>
      </c>
      <c r="C16" s="8">
        <f t="shared" si="6"/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153"/>
      <c r="M16" s="153"/>
    </row>
    <row r="17" spans="1:13" hidden="1" x14ac:dyDescent="0.25">
      <c r="A17" s="75" t="s">
        <v>87</v>
      </c>
      <c r="B17" s="194"/>
      <c r="C17" s="194"/>
      <c r="D17" s="194"/>
      <c r="E17" s="194"/>
      <c r="F17" s="194"/>
      <c r="G17" s="194"/>
      <c r="H17" s="194"/>
      <c r="I17" s="194"/>
      <c r="J17" s="51">
        <f t="shared" si="2"/>
        <v>0</v>
      </c>
      <c r="K17" s="51">
        <f t="shared" si="5"/>
        <v>0</v>
      </c>
      <c r="L17" s="153"/>
      <c r="M17" s="153"/>
    </row>
    <row r="18" spans="1:13" hidden="1" x14ac:dyDescent="0.25">
      <c r="A18" s="75" t="s">
        <v>88</v>
      </c>
      <c r="B18" s="194"/>
      <c r="C18" s="194"/>
      <c r="D18" s="194"/>
      <c r="E18" s="194"/>
      <c r="F18" s="194"/>
      <c r="G18" s="194"/>
      <c r="H18" s="194"/>
      <c r="I18" s="194"/>
      <c r="J18" s="51">
        <f t="shared" si="2"/>
        <v>0</v>
      </c>
      <c r="K18" s="51">
        <f t="shared" si="5"/>
        <v>0</v>
      </c>
      <c r="L18" s="153"/>
      <c r="M18" s="153"/>
    </row>
    <row r="19" spans="1:13" hidden="1" x14ac:dyDescent="0.25">
      <c r="A19" s="75" t="s">
        <v>89</v>
      </c>
      <c r="B19" s="194"/>
      <c r="C19" s="194"/>
      <c r="D19" s="194"/>
      <c r="E19" s="194"/>
      <c r="F19" s="194"/>
      <c r="G19" s="194"/>
      <c r="H19" s="194"/>
      <c r="I19" s="194"/>
      <c r="J19" s="51">
        <f t="shared" si="2"/>
        <v>0</v>
      </c>
      <c r="K19" s="51">
        <f t="shared" si="5"/>
        <v>0</v>
      </c>
      <c r="L19" s="153"/>
      <c r="M19" s="153"/>
    </row>
    <row r="20" spans="1:13" hidden="1" x14ac:dyDescent="0.25">
      <c r="A20" s="50" t="s">
        <v>94</v>
      </c>
      <c r="B20" s="8">
        <f t="shared" ref="B20:K20" si="7">SUM(B17:B19)</f>
        <v>0</v>
      </c>
      <c r="C20" s="8">
        <f t="shared" si="7"/>
        <v>0</v>
      </c>
      <c r="D20" s="8">
        <f t="shared" si="7"/>
        <v>0</v>
      </c>
      <c r="E20" s="8">
        <f t="shared" si="7"/>
        <v>0</v>
      </c>
      <c r="F20" s="8">
        <f t="shared" si="7"/>
        <v>0</v>
      </c>
      <c r="G20" s="8">
        <f t="shared" si="7"/>
        <v>0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153"/>
      <c r="M20" s="153"/>
    </row>
    <row r="21" spans="1:13" hidden="1" x14ac:dyDescent="0.25">
      <c r="A21" s="75" t="s">
        <v>90</v>
      </c>
      <c r="B21" s="194"/>
      <c r="C21" s="194"/>
      <c r="D21" s="194"/>
      <c r="E21" s="194"/>
      <c r="F21" s="194"/>
      <c r="G21" s="194"/>
      <c r="H21" s="194"/>
      <c r="I21" s="194"/>
      <c r="J21" s="51">
        <f t="shared" si="2"/>
        <v>0</v>
      </c>
      <c r="K21" s="51">
        <f t="shared" si="5"/>
        <v>0</v>
      </c>
      <c r="L21" s="153"/>
      <c r="M21" s="153"/>
    </row>
    <row r="22" spans="1:13" hidden="1" x14ac:dyDescent="0.25">
      <c r="A22" s="75" t="s">
        <v>91</v>
      </c>
      <c r="B22" s="194"/>
      <c r="C22" s="194"/>
      <c r="D22" s="194"/>
      <c r="E22" s="194"/>
      <c r="F22" s="194"/>
      <c r="G22" s="194"/>
      <c r="H22" s="194"/>
      <c r="I22" s="194"/>
      <c r="J22" s="51">
        <f t="shared" si="2"/>
        <v>0</v>
      </c>
      <c r="K22" s="51">
        <f t="shared" si="5"/>
        <v>0</v>
      </c>
      <c r="L22" s="153"/>
      <c r="M22" s="153"/>
    </row>
    <row r="23" spans="1:13" hidden="1" x14ac:dyDescent="0.25">
      <c r="A23" s="75" t="s">
        <v>92</v>
      </c>
      <c r="B23" s="194"/>
      <c r="C23" s="194"/>
      <c r="D23" s="194"/>
      <c r="E23" s="194"/>
      <c r="F23" s="194"/>
      <c r="G23" s="194"/>
      <c r="H23" s="194"/>
      <c r="I23" s="194"/>
      <c r="J23" s="51">
        <f t="shared" si="2"/>
        <v>0</v>
      </c>
      <c r="K23" s="51">
        <f t="shared" si="5"/>
        <v>0</v>
      </c>
      <c r="L23" s="153"/>
      <c r="M23" s="153"/>
    </row>
    <row r="24" spans="1:13" hidden="1" x14ac:dyDescent="0.25">
      <c r="A24" s="50" t="s">
        <v>95</v>
      </c>
      <c r="B24" s="8">
        <f t="shared" ref="B24:K24" si="8">SUM(B21:B23)</f>
        <v>0</v>
      </c>
      <c r="C24" s="8">
        <f t="shared" si="8"/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8">
        <f t="shared" si="8"/>
        <v>0</v>
      </c>
      <c r="I24" s="8">
        <f t="shared" si="8"/>
        <v>0</v>
      </c>
      <c r="J24" s="8">
        <f t="shared" si="8"/>
        <v>0</v>
      </c>
      <c r="K24" s="8">
        <f t="shared" si="8"/>
        <v>0</v>
      </c>
      <c r="L24" s="153"/>
      <c r="M24" s="153"/>
    </row>
    <row r="25" spans="1:13" hidden="1" x14ac:dyDescent="0.25">
      <c r="A25" s="53" t="s">
        <v>9</v>
      </c>
      <c r="B25" s="54">
        <f>+B12+B16+B20+B24</f>
        <v>3581</v>
      </c>
      <c r="C25" s="52">
        <f t="shared" ref="C25:K25" si="9">+C12+C16+C20+C24</f>
        <v>126503466.05000001</v>
      </c>
      <c r="D25" s="52">
        <f t="shared" si="9"/>
        <v>745</v>
      </c>
      <c r="E25" s="52">
        <f t="shared" si="9"/>
        <v>9379973.5499999989</v>
      </c>
      <c r="F25" s="52">
        <f t="shared" si="9"/>
        <v>1345</v>
      </c>
      <c r="G25" s="52">
        <f t="shared" si="9"/>
        <v>14624857.809999999</v>
      </c>
      <c r="H25" s="52">
        <f t="shared" si="9"/>
        <v>700</v>
      </c>
      <c r="I25" s="52">
        <f t="shared" si="9"/>
        <v>8189865.419999999</v>
      </c>
      <c r="J25" s="52">
        <f t="shared" si="9"/>
        <v>1536</v>
      </c>
      <c r="K25" s="52">
        <f t="shared" si="9"/>
        <v>113068716.37</v>
      </c>
      <c r="L25" s="153"/>
      <c r="M25" s="153"/>
    </row>
    <row r="26" spans="1:13" x14ac:dyDescent="0.25">
      <c r="A26" s="162" t="s">
        <v>176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</row>
    <row r="27" spans="1:13" x14ac:dyDescent="0.2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  <row r="28" spans="1:13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  <row r="29" spans="1:13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</row>
    <row r="30" spans="1:13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  <row r="31" spans="1:13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</row>
    <row r="32" spans="1:13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</row>
    <row r="33" spans="1:13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</row>
    <row r="34" spans="1:13" x14ac:dyDescent="0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</row>
    <row r="35" spans="1:13" x14ac:dyDescent="0.2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</row>
    <row r="36" spans="1:13" x14ac:dyDescent="0.2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</row>
    <row r="37" spans="1:13" x14ac:dyDescent="0.2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</row>
    <row r="38" spans="1:13" x14ac:dyDescent="0.2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</row>
    <row r="39" spans="1:13" x14ac:dyDescent="0.2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</row>
    <row r="42" spans="1:13" x14ac:dyDescent="0.25">
      <c r="B42" s="75"/>
      <c r="C42" s="194"/>
      <c r="D42" s="194"/>
      <c r="E42" s="194"/>
      <c r="F42" s="194"/>
      <c r="G42" s="194"/>
      <c r="H42" s="194"/>
      <c r="I42" s="194"/>
      <c r="J42" s="194"/>
      <c r="K42" s="51"/>
      <c r="L42" s="85"/>
    </row>
    <row r="44" spans="1:13" x14ac:dyDescent="0.25">
      <c r="B44" s="75"/>
      <c r="C44" s="194"/>
      <c r="D44" s="194"/>
      <c r="E44" s="194"/>
      <c r="F44" s="194"/>
      <c r="G44" s="194"/>
      <c r="H44" s="194"/>
      <c r="I44" s="194"/>
      <c r="J44" s="194"/>
      <c r="K44" s="51"/>
      <c r="L44" s="85"/>
    </row>
  </sheetData>
  <mergeCells count="11">
    <mergeCell ref="A6:K6"/>
    <mergeCell ref="A1:K1"/>
    <mergeCell ref="A2:K2"/>
    <mergeCell ref="A3:K3"/>
    <mergeCell ref="A5:K5"/>
    <mergeCell ref="A4:K4"/>
    <mergeCell ref="B7:C7"/>
    <mergeCell ref="D7:E7"/>
    <mergeCell ref="F7:G7"/>
    <mergeCell ref="H7:I7"/>
    <mergeCell ref="J7:K7"/>
  </mergeCells>
  <pageMargins left="0.7" right="0.7" top="0.75" bottom="0.75" header="0.3" footer="0.3"/>
  <pageSetup paperSize="9" scale="51" orientation="portrait" r:id="rId1"/>
  <ignoredErrors>
    <ignoredError sqref="J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12</vt:i4>
      </vt:variant>
    </vt:vector>
  </HeadingPairs>
  <TitlesOfParts>
    <vt:vector size="29" baseType="lpstr">
      <vt:lpstr>Presupuesto Adm.</vt:lpstr>
      <vt:lpstr>Afiliados y Cotizantes</vt:lpstr>
      <vt:lpstr>Cotizantes</vt:lpstr>
      <vt:lpstr>Empleador</vt:lpstr>
      <vt:lpstr>Aportes</vt:lpstr>
      <vt:lpstr>Traspaso</vt:lpstr>
      <vt:lpstr>Presupuesto de Pensiones</vt:lpstr>
      <vt:lpstr>Nómina</vt:lpstr>
      <vt:lpstr>Movimientos</vt:lpstr>
      <vt:lpstr>Tipo de Pension</vt:lpstr>
      <vt:lpstr>Hoja1</vt:lpstr>
      <vt:lpstr>Modalidad</vt:lpstr>
      <vt:lpstr>Retroactivos</vt:lpstr>
      <vt:lpstr>Reintegros</vt:lpstr>
      <vt:lpstr>Créditos Rechazados</vt:lpstr>
      <vt:lpstr>Recuperación Fondos</vt:lpstr>
      <vt:lpstr>Servicios</vt:lpstr>
      <vt:lpstr>'Afiliados y Cotizantes'!Área_de_impresión</vt:lpstr>
      <vt:lpstr>Aportes!Área_de_impresión</vt:lpstr>
      <vt:lpstr>Cotizantes!Área_de_impresión</vt:lpstr>
      <vt:lpstr>Modalidad!Área_de_impresión</vt:lpstr>
      <vt:lpstr>Movimientos!Área_de_impresión</vt:lpstr>
      <vt:lpstr>Nómina!Área_de_impresión</vt:lpstr>
      <vt:lpstr>'Presupuesto de Pensiones'!Área_de_impresión</vt:lpstr>
      <vt:lpstr>'Recuperación Fondos'!Área_de_impresión</vt:lpstr>
      <vt:lpstr>Retroactivos!Área_de_impresión</vt:lpstr>
      <vt:lpstr>Servicios!Área_de_impresión</vt:lpstr>
      <vt:lpstr>'Tipo de Pension'!Área_de_impresión</vt:lpstr>
      <vt:lpstr>Traspaso!Área_de_impresión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Roa</dc:creator>
  <cp:lastModifiedBy>Cesar Augusto Roa Meran</cp:lastModifiedBy>
  <cp:lastPrinted>2021-11-01T13:10:11Z</cp:lastPrinted>
  <dcterms:created xsi:type="dcterms:W3CDTF">2019-06-03T16:17:46Z</dcterms:created>
  <dcterms:modified xsi:type="dcterms:W3CDTF">2021-12-01T20:01:38Z</dcterms:modified>
</cp:coreProperties>
</file>